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R:\R07\10_就学支援\01_就学援助\12_その他\999_ツール\"/>
    </mc:Choice>
  </mc:AlternateContent>
  <xr:revisionPtr revIDLastSave="0" documentId="13_ncr:1_{64175E69-4025-41D3-9CFA-722B65C3F29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計算シート" sheetId="1" r:id="rId1"/>
    <sheet name="参照先" sheetId="2" r:id="rId2"/>
  </sheets>
  <definedNames>
    <definedName name="_xlnm.Print_Area" localSheetId="0">計算シート!$A$1:$H$19</definedName>
    <definedName name="_xlnm.Print_Area" localSheetId="1">参照先!$A$1:$J$108</definedName>
    <definedName name="_xlnm.Print_Titles" localSheetId="1">参照先!$1:$1</definedName>
    <definedName name="小学生人数">#REF!</definedName>
    <definedName name="人数">参照先!$B$98:$B$102</definedName>
    <definedName name="生年">#REF!</definedName>
    <definedName name="生年人数">参照先!$B$2:$B$7</definedName>
    <definedName name="第二類">参照先!$B$68:$B$77</definedName>
    <definedName name="第二類・期末">#REF!</definedName>
    <definedName name="中学生人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1" i="2" l="1"/>
  <c r="D60" i="2"/>
  <c r="D59" i="2"/>
  <c r="D58" i="2"/>
  <c r="D57" i="2"/>
  <c r="D55" i="2"/>
  <c r="D54" i="2"/>
  <c r="D53" i="2"/>
  <c r="D52" i="2"/>
  <c r="D51" i="2"/>
  <c r="D31" i="2"/>
  <c r="D30" i="2"/>
  <c r="D29" i="2"/>
  <c r="D28" i="2"/>
  <c r="D27" i="2"/>
  <c r="G14" i="1"/>
  <c r="F14" i="1"/>
  <c r="E14" i="1"/>
  <c r="D14" i="1"/>
  <c r="H14" i="1" l="1"/>
  <c r="D17" i="1" s="1"/>
  <c r="J69" i="2"/>
  <c r="J70" i="2"/>
  <c r="J71" i="2"/>
  <c r="J72" i="2"/>
  <c r="J73" i="2"/>
  <c r="J74" i="2"/>
  <c r="J75" i="2"/>
  <c r="J76" i="2"/>
  <c r="J77" i="2"/>
  <c r="J68" i="2"/>
  <c r="C14" i="1"/>
  <c r="I18" i="1" l="1"/>
  <c r="I19" i="1" l="1"/>
  <c r="J19" i="1" l="1"/>
  <c r="I10" i="1" s="1"/>
  <c r="J10" i="1" s="1"/>
  <c r="J18" i="1"/>
  <c r="C11" i="1" s="1"/>
  <c r="C10" i="1" l="1"/>
  <c r="I13" i="1"/>
  <c r="J13" i="1" s="1"/>
  <c r="I11" i="1"/>
  <c r="J11" i="1" s="1"/>
  <c r="C7" i="1"/>
  <c r="C12" i="1"/>
  <c r="I9" i="1"/>
  <c r="J9" i="1" s="1"/>
  <c r="I12" i="1"/>
  <c r="J12" i="1" s="1"/>
  <c r="C13" i="1"/>
  <c r="C9" i="1"/>
  <c r="I3" i="1"/>
  <c r="J3" i="1" s="1"/>
  <c r="I7" i="1"/>
  <c r="J7" i="1" s="1"/>
  <c r="I5" i="1"/>
  <c r="J5" i="1" s="1"/>
  <c r="C5" i="1"/>
  <c r="C3" i="1"/>
  <c r="C4" i="1"/>
  <c r="C8" i="1"/>
  <c r="C6" i="1"/>
  <c r="L6" i="1" l="1"/>
  <c r="L3" i="1"/>
  <c r="L13" i="1"/>
  <c r="L4" i="1"/>
  <c r="L10" i="1"/>
  <c r="L9" i="1"/>
  <c r="L8" i="1"/>
  <c r="L5" i="1"/>
  <c r="M5" i="1" s="1"/>
  <c r="I4" i="1"/>
  <c r="J4" i="1" s="1"/>
  <c r="I8" i="1"/>
  <c r="J8" i="1" s="1"/>
  <c r="I6" i="1"/>
  <c r="J6" i="1" s="1"/>
  <c r="L12" i="1"/>
  <c r="M12" i="1" s="1"/>
  <c r="P3" i="1" l="1" a="1"/>
  <c r="P3" i="1" s="1"/>
  <c r="Q14" i="1" s="1"/>
  <c r="M3" i="1"/>
  <c r="L7" i="1"/>
  <c r="M7" i="1" s="1"/>
  <c r="L11" i="1"/>
  <c r="M11" i="1" s="1"/>
  <c r="R3" i="1"/>
  <c r="L14" i="1" l="1"/>
  <c r="S14" i="1"/>
  <c r="M4" i="1"/>
  <c r="M9" i="1"/>
  <c r="M10" i="1"/>
  <c r="M6" i="1"/>
  <c r="M13" i="1"/>
  <c r="N3" i="1" l="1"/>
  <c r="O14" i="1" s="1"/>
  <c r="O15" i="1" s="1"/>
  <c r="T15" i="1"/>
  <c r="S15" i="1"/>
  <c r="Q15" i="1"/>
  <c r="D107" i="2"/>
  <c r="D106" i="2"/>
  <c r="D105" i="2"/>
  <c r="D104" i="2"/>
  <c r="D102" i="2"/>
  <c r="D101" i="2"/>
  <c r="D100" i="2"/>
  <c r="D99" i="2"/>
  <c r="H97" i="2"/>
  <c r="D97" i="2" s="1"/>
  <c r="H96" i="2"/>
  <c r="H76" i="2" s="1"/>
  <c r="H95" i="2"/>
  <c r="D95" i="2" s="1"/>
  <c r="H94" i="2"/>
  <c r="H74" i="2" s="1"/>
  <c r="H93" i="2"/>
  <c r="D93" i="2" s="1"/>
  <c r="H92" i="2"/>
  <c r="H72" i="2" s="1"/>
  <c r="H91" i="2"/>
  <c r="D91" i="2" s="1"/>
  <c r="H90" i="2"/>
  <c r="H70" i="2" s="1"/>
  <c r="H89" i="2"/>
  <c r="D89" i="2" s="1"/>
  <c r="H88" i="2"/>
  <c r="H68" i="2" s="1"/>
  <c r="H87" i="2"/>
  <c r="D87" i="2" s="1"/>
  <c r="H86" i="2"/>
  <c r="D86" i="2" s="1"/>
  <c r="H85" i="2"/>
  <c r="D85" i="2" s="1"/>
  <c r="H84" i="2"/>
  <c r="D84" i="2" s="1"/>
  <c r="H83" i="2"/>
  <c r="D83" i="2" s="1"/>
  <c r="H82" i="2"/>
  <c r="D82" i="2" s="1"/>
  <c r="H81" i="2"/>
  <c r="D81" i="2" s="1"/>
  <c r="H80" i="2"/>
  <c r="D80" i="2" s="1"/>
  <c r="H79" i="2"/>
  <c r="D79" i="2" s="1"/>
  <c r="H78" i="2"/>
  <c r="G77" i="2"/>
  <c r="G74" i="2"/>
  <c r="D67" i="2"/>
  <c r="D66" i="2"/>
  <c r="D65" i="2"/>
  <c r="D64" i="2"/>
  <c r="D63" i="2"/>
  <c r="D49" i="2"/>
  <c r="D48" i="2"/>
  <c r="D47" i="2"/>
  <c r="D46" i="2"/>
  <c r="D45" i="2"/>
  <c r="D43" i="2"/>
  <c r="D42" i="2"/>
  <c r="D41" i="2"/>
  <c r="D40" i="2"/>
  <c r="D39" i="2"/>
  <c r="D37" i="2"/>
  <c r="D36" i="2"/>
  <c r="D35" i="2"/>
  <c r="D34" i="2"/>
  <c r="D33" i="2"/>
  <c r="M8" i="1" s="1"/>
  <c r="M14" i="1" s="1"/>
  <c r="M16" i="1" s="1"/>
  <c r="M17" i="1" s="1"/>
  <c r="D25" i="2"/>
  <c r="D24" i="2"/>
  <c r="D23" i="2"/>
  <c r="D22" i="2"/>
  <c r="D21" i="2"/>
  <c r="D19" i="2"/>
  <c r="D18" i="2"/>
  <c r="D17" i="2"/>
  <c r="D16" i="2"/>
  <c r="D15" i="2"/>
  <c r="D13" i="2"/>
  <c r="D12" i="2"/>
  <c r="D11" i="2"/>
  <c r="D10" i="2"/>
  <c r="D9" i="2"/>
  <c r="D7" i="2"/>
  <c r="D6" i="2"/>
  <c r="D5" i="2"/>
  <c r="D4" i="2"/>
  <c r="D3" i="2"/>
  <c r="D16" i="1" l="1"/>
  <c r="D19" i="1" s="1"/>
  <c r="D18" i="1" s="1"/>
  <c r="D78" i="2"/>
  <c r="G68" i="2"/>
  <c r="G70" i="2"/>
  <c r="D70" i="2" s="1"/>
  <c r="G71" i="2"/>
  <c r="G73" i="2"/>
  <c r="G69" i="2"/>
  <c r="D68" i="2"/>
  <c r="G72" i="2"/>
  <c r="D72" i="2" s="1"/>
  <c r="G75" i="2"/>
  <c r="G76" i="2"/>
  <c r="D76" i="2" s="1"/>
  <c r="D74" i="2"/>
  <c r="D88" i="2"/>
  <c r="D92" i="2"/>
  <c r="D96" i="2"/>
  <c r="H69" i="2"/>
  <c r="D69" i="2" s="1"/>
  <c r="H71" i="2"/>
  <c r="D71" i="2" s="1"/>
  <c r="H73" i="2"/>
  <c r="H75" i="2"/>
  <c r="H77" i="2"/>
  <c r="D77" i="2" s="1"/>
  <c r="D90" i="2"/>
  <c r="D94" i="2"/>
  <c r="D75" i="2" l="1"/>
  <c r="D7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<sst xmlns="http://schemas.openxmlformats.org/spreadsheetml/2006/main" count="118" uniqueCount="90">
  <si>
    <t>・生活扶助（１類）の年額
・システム名称「年齢基準額」
・1.3倍済の単価</t>
    <rPh sb="1" eb="3">
      <t>セイカツ</t>
    </rPh>
    <rPh sb="3" eb="5">
      <t>フジョ</t>
    </rPh>
    <rPh sb="7" eb="8">
      <t>ルイ</t>
    </rPh>
    <rPh sb="10" eb="12">
      <t>ネンガク</t>
    </rPh>
    <rPh sb="18" eb="20">
      <t>メイショウ</t>
    </rPh>
    <rPh sb="21" eb="23">
      <t>ネンレイ</t>
    </rPh>
    <rPh sb="23" eb="25">
      <t>キジュン</t>
    </rPh>
    <rPh sb="25" eb="26">
      <t>ガク</t>
    </rPh>
    <rPh sb="32" eb="33">
      <t>バイ</t>
    </rPh>
    <rPh sb="33" eb="34">
      <t>ズミ</t>
    </rPh>
    <rPh sb="35" eb="37">
      <t>タンカ</t>
    </rPh>
    <phoneticPr fontId="5"/>
  </si>
  <si>
    <t>・（生活扶助（2類）＋期末一時扶助＋冬季加算）の年額
・システム名称「世帯人数基準額」
・1.3倍前の単価</t>
    <rPh sb="2" eb="4">
      <t>セイカツ</t>
    </rPh>
    <rPh sb="4" eb="6">
      <t>フジョ</t>
    </rPh>
    <rPh sb="8" eb="9">
      <t>ルイ</t>
    </rPh>
    <rPh sb="11" eb="13">
      <t>キマツ</t>
    </rPh>
    <rPh sb="13" eb="15">
      <t>イチジ</t>
    </rPh>
    <rPh sb="15" eb="17">
      <t>フジョ</t>
    </rPh>
    <rPh sb="18" eb="20">
      <t>トウキ</t>
    </rPh>
    <rPh sb="20" eb="22">
      <t>カサン</t>
    </rPh>
    <rPh sb="24" eb="26">
      <t>ネンガク</t>
    </rPh>
    <rPh sb="32" eb="34">
      <t>メイショウ</t>
    </rPh>
    <rPh sb="35" eb="37">
      <t>セタイ</t>
    </rPh>
    <rPh sb="37" eb="39">
      <t>ニンズウ</t>
    </rPh>
    <rPh sb="39" eb="41">
      <t>キジュン</t>
    </rPh>
    <rPh sb="41" eb="42">
      <t>ガク</t>
    </rPh>
    <rPh sb="48" eb="49">
      <t>バイ</t>
    </rPh>
    <rPh sb="49" eb="50">
      <t>マエ</t>
    </rPh>
    <rPh sb="51" eb="53">
      <t>タンカ</t>
    </rPh>
    <phoneticPr fontId="5"/>
  </si>
  <si>
    <t>住宅
扶助</t>
    <rPh sb="0" eb="2">
      <t>ジュウタク</t>
    </rPh>
    <rPh sb="3" eb="5">
      <t>フジョ</t>
    </rPh>
    <phoneticPr fontId="5"/>
  </si>
  <si>
    <t>認定所得</t>
    <rPh sb="0" eb="2">
      <t>ニンテイ</t>
    </rPh>
    <rPh sb="2" eb="4">
      <t>ショトク</t>
    </rPh>
    <phoneticPr fontId="5"/>
  </si>
  <si>
    <t>0～2歳</t>
    <rPh sb="3" eb="4">
      <t>サイ</t>
    </rPh>
    <phoneticPr fontId="5"/>
  </si>
  <si>
    <t>6～11歳</t>
    <phoneticPr fontId="5"/>
  </si>
  <si>
    <t>20～40歳</t>
    <phoneticPr fontId="5"/>
  </si>
  <si>
    <t>【補正前】合計金額</t>
    <rPh sb="1" eb="3">
      <t>ホセイ</t>
    </rPh>
    <rPh sb="3" eb="4">
      <t>マエ</t>
    </rPh>
    <rPh sb="5" eb="7">
      <t>ゴウケイ</t>
    </rPh>
    <rPh sb="7" eb="9">
      <t>キンガク</t>
    </rPh>
    <phoneticPr fontId="5"/>
  </si>
  <si>
    <t>×12月
×1.3倍</t>
    <rPh sb="3" eb="4">
      <t>ツキ</t>
    </rPh>
    <rPh sb="9" eb="10">
      <t>バイ</t>
    </rPh>
    <phoneticPr fontId="5"/>
  </si>
  <si>
    <t>×1.3倍</t>
    <rPh sb="4" eb="5">
      <t>バイ</t>
    </rPh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</si>
  <si>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</si>
  <si>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</si>
  <si>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</si>
  <si>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</si>
  <si>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3～5歳</t>
    <phoneticPr fontId="5"/>
  </si>
  <si>
    <t>41～59歳</t>
    <phoneticPr fontId="5"/>
  </si>
  <si>
    <t>①</t>
    <phoneticPr fontId="5"/>
  </si>
  <si>
    <t>項目</t>
    <rPh sb="0" eb="2">
      <t>コウモク</t>
    </rPh>
    <phoneticPr fontId="5"/>
  </si>
  <si>
    <t>人数等</t>
    <rPh sb="0" eb="2">
      <t>ニンズウ</t>
    </rPh>
    <rPh sb="2" eb="3">
      <t>トウ</t>
    </rPh>
    <phoneticPr fontId="5"/>
  </si>
  <si>
    <t>年号</t>
    <rPh sb="0" eb="2">
      <t>ネンゴウ</t>
    </rPh>
    <phoneticPr fontId="5"/>
  </si>
  <si>
    <t>単価</t>
    <rPh sb="0" eb="2">
      <t>タンカ</t>
    </rPh>
    <phoneticPr fontId="5"/>
  </si>
  <si>
    <t>備考（留意事項）</t>
    <rPh sb="0" eb="2">
      <t>ビコウ</t>
    </rPh>
    <rPh sb="3" eb="5">
      <t>リュウイ</t>
    </rPh>
    <rPh sb="5" eb="7">
      <t>ジコウ</t>
    </rPh>
    <phoneticPr fontId="5"/>
  </si>
  <si>
    <r>
      <rPr>
        <b/>
        <sz val="11"/>
        <rFont val="ＭＳ Ｐゴシック"/>
        <family val="3"/>
        <charset val="128"/>
      </rPr>
      <t>年　齢　基　準　額</t>
    </r>
    <r>
      <rPr>
        <sz val="11"/>
        <rFont val="ＭＳ Ｐゴシック"/>
        <family val="3"/>
        <charset val="128"/>
      </rPr>
      <t xml:space="preserve">
生　活　扶　助　　一　類　（食　料）</t>
    </r>
    <rPh sb="0" eb="1">
      <t>トシ</t>
    </rPh>
    <rPh sb="2" eb="3">
      <t>トシ</t>
    </rPh>
    <rPh sb="4" eb="5">
      <t>モト</t>
    </rPh>
    <rPh sb="6" eb="7">
      <t>ジュン</t>
    </rPh>
    <rPh sb="8" eb="9">
      <t>ガク</t>
    </rPh>
    <rPh sb="10" eb="11">
      <t>ショウ</t>
    </rPh>
    <rPh sb="12" eb="13">
      <t>カツ</t>
    </rPh>
    <rPh sb="14" eb="15">
      <t>タス</t>
    </rPh>
    <rPh sb="16" eb="17">
      <t>スケ</t>
    </rPh>
    <rPh sb="19" eb="20">
      <t>１</t>
    </rPh>
    <rPh sb="21" eb="22">
      <t>タグイ</t>
    </rPh>
    <rPh sb="24" eb="25">
      <t>ショク</t>
    </rPh>
    <rPh sb="26" eb="27">
      <t>リョウ</t>
    </rPh>
    <phoneticPr fontId="5"/>
  </si>
  <si>
    <t>生保2類額</t>
    <rPh sb="0" eb="2">
      <t>セイホ</t>
    </rPh>
    <rPh sb="3" eb="4">
      <t>ルイ</t>
    </rPh>
    <rPh sb="4" eb="5">
      <t>ガク</t>
    </rPh>
    <phoneticPr fontId="5"/>
  </si>
  <si>
    <t>期末一時</t>
    <rPh sb="0" eb="2">
      <t>キマツ</t>
    </rPh>
    <rPh sb="2" eb="4">
      <t>イチジ</t>
    </rPh>
    <phoneticPr fontId="5"/>
  </si>
  <si>
    <t>冬季加算</t>
    <rPh sb="0" eb="2">
      <t>トウキ</t>
    </rPh>
    <rPh sb="2" eb="4">
      <t>カサン</t>
    </rPh>
    <phoneticPr fontId="5"/>
  </si>
  <si>
    <t>合計</t>
    <rPh sb="0" eb="2">
      <t>ゴウケイ</t>
    </rPh>
    <phoneticPr fontId="5"/>
  </si>
  <si>
    <r>
      <rPr>
        <b/>
        <sz val="11"/>
        <rFont val="ＭＳ Ｐゴシック"/>
        <family val="3"/>
        <charset val="128"/>
      </rPr>
      <t>世帯人数基準額</t>
    </r>
    <r>
      <rPr>
        <sz val="11"/>
        <rFont val="ＭＳ Ｐゴシック"/>
        <family val="3"/>
        <charset val="128"/>
      </rPr>
      <t xml:space="preserve">
同二類（衣料）</t>
    </r>
    <rPh sb="0" eb="2">
      <t>セタイ</t>
    </rPh>
    <rPh sb="2" eb="4">
      <t>ニンズウ</t>
    </rPh>
    <rPh sb="4" eb="6">
      <t>キジュン</t>
    </rPh>
    <rPh sb="6" eb="7">
      <t>ガク</t>
    </rPh>
    <phoneticPr fontId="5"/>
  </si>
  <si>
    <r>
      <t xml:space="preserve">・「早見表」中「二類の額」＋「期末一時扶助」＋「冬季加算」総額を反映。
</t>
    </r>
    <r>
      <rPr>
        <sz val="11"/>
        <color indexed="10"/>
        <rFont val="ＭＳ Ｐゴシック"/>
        <family val="3"/>
        <charset val="128"/>
      </rPr>
      <t>【単価設定の根拠】
・「生保2類」の計算は、システムの「世帯人数基準額」に該当する。しかし、「期末一時扶助」と「冬季加算」がシステムの計算過程に存在しないため、システムの単価テーブルに予め加える必要がある。
・</t>
    </r>
    <r>
      <rPr>
        <b/>
        <u/>
        <sz val="11"/>
        <color indexed="10"/>
        <rFont val="ＭＳ Ｐゴシック"/>
        <family val="3"/>
        <charset val="128"/>
      </rPr>
      <t>システムの計算過程で自動的に年額換算と１．３０倍をしてくれるので、単価設定は月額とする。</t>
    </r>
    <r>
      <rPr>
        <sz val="11"/>
        <color indexed="10"/>
        <rFont val="ＭＳ Ｐゴシック"/>
        <family val="3"/>
        <charset val="128"/>
      </rPr>
      <t xml:space="preserve">
・計算根拠は右欄参照
・「冬季加算」「期末一時」扶助の計算過程は下欄参照</t>
    </r>
    <rPh sb="15" eb="17">
      <t>キマツ</t>
    </rPh>
    <rPh sb="17" eb="19">
      <t>イチジ</t>
    </rPh>
    <rPh sb="19" eb="21">
      <t>フジョ</t>
    </rPh>
    <rPh sb="24" eb="26">
      <t>トウキ</t>
    </rPh>
    <rPh sb="26" eb="28">
      <t>カサン</t>
    </rPh>
    <rPh sb="29" eb="30">
      <t>ソウ</t>
    </rPh>
    <rPh sb="30" eb="31">
      <t>ガク</t>
    </rPh>
    <rPh sb="32" eb="34">
      <t>ハンエイ</t>
    </rPh>
    <rPh sb="37" eb="39">
      <t>タンカ</t>
    </rPh>
    <rPh sb="39" eb="41">
      <t>セッテイ</t>
    </rPh>
    <rPh sb="42" eb="44">
      <t>コンキョ</t>
    </rPh>
    <rPh sb="48" eb="50">
      <t>セイホ</t>
    </rPh>
    <rPh sb="51" eb="52">
      <t>ルイ</t>
    </rPh>
    <rPh sb="54" eb="56">
      <t>ケイサン</t>
    </rPh>
    <rPh sb="64" eb="66">
      <t>セタイ</t>
    </rPh>
    <rPh sb="66" eb="68">
      <t>ニンズウ</t>
    </rPh>
    <rPh sb="68" eb="70">
      <t>キジュン</t>
    </rPh>
    <rPh sb="70" eb="71">
      <t>ガク</t>
    </rPh>
    <rPh sb="73" eb="75">
      <t>ガイトウ</t>
    </rPh>
    <rPh sb="83" eb="85">
      <t>キマツ</t>
    </rPh>
    <rPh sb="85" eb="87">
      <t>イチジ</t>
    </rPh>
    <rPh sb="87" eb="89">
      <t>フジョ</t>
    </rPh>
    <rPh sb="92" eb="94">
      <t>トウキ</t>
    </rPh>
    <rPh sb="94" eb="96">
      <t>カサン</t>
    </rPh>
    <rPh sb="103" eb="105">
      <t>ケイサン</t>
    </rPh>
    <rPh sb="105" eb="107">
      <t>カテイ</t>
    </rPh>
    <rPh sb="108" eb="110">
      <t>ソンザイ</t>
    </rPh>
    <rPh sb="121" eb="123">
      <t>タンカ</t>
    </rPh>
    <rPh sb="128" eb="129">
      <t>アラカジ</t>
    </rPh>
    <rPh sb="130" eb="131">
      <t>クワ</t>
    </rPh>
    <rPh sb="133" eb="135">
      <t>ヒツヨウ</t>
    </rPh>
    <rPh sb="146" eb="148">
      <t>ケイサン</t>
    </rPh>
    <rPh sb="148" eb="150">
      <t>カテイ</t>
    </rPh>
    <rPh sb="151" eb="154">
      <t>ジドウテキ</t>
    </rPh>
    <rPh sb="155" eb="157">
      <t>ネンガク</t>
    </rPh>
    <rPh sb="157" eb="159">
      <t>カンサン</t>
    </rPh>
    <rPh sb="164" eb="165">
      <t>バイ</t>
    </rPh>
    <rPh sb="174" eb="176">
      <t>タンカ</t>
    </rPh>
    <rPh sb="176" eb="178">
      <t>セッテイ</t>
    </rPh>
    <rPh sb="179" eb="180">
      <t>ゲツ</t>
    </rPh>
    <rPh sb="180" eb="181">
      <t>ガク</t>
    </rPh>
    <rPh sb="187" eb="189">
      <t>ケイサン</t>
    </rPh>
    <rPh sb="189" eb="191">
      <t>コンキョ</t>
    </rPh>
    <rPh sb="192" eb="193">
      <t>ミギ</t>
    </rPh>
    <rPh sb="193" eb="194">
      <t>ラン</t>
    </rPh>
    <rPh sb="194" eb="196">
      <t>サンショウ</t>
    </rPh>
    <rPh sb="199" eb="201">
      <t>トウキ</t>
    </rPh>
    <rPh sb="201" eb="203">
      <t>カサン</t>
    </rPh>
    <rPh sb="205" eb="207">
      <t>キマツ</t>
    </rPh>
    <rPh sb="207" eb="209">
      <t>イチジ</t>
    </rPh>
    <rPh sb="210" eb="212">
      <t>フジョ</t>
    </rPh>
    <rPh sb="213" eb="215">
      <t>ケイサン</t>
    </rPh>
    <rPh sb="215" eb="217">
      <t>カテイ</t>
    </rPh>
    <rPh sb="218" eb="219">
      <t>シタ</t>
    </rPh>
    <rPh sb="219" eb="220">
      <t>ラン</t>
    </rPh>
    <rPh sb="220" eb="222">
      <t>サンショウ</t>
    </rPh>
    <phoneticPr fontId="5"/>
  </si>
  <si>
    <t>期末一時扶助</t>
    <rPh sb="0" eb="2">
      <t>キマツ</t>
    </rPh>
    <rPh sb="2" eb="4">
      <t>イチジ</t>
    </rPh>
    <rPh sb="4" eb="6">
      <t>フジョ</t>
    </rPh>
    <phoneticPr fontId="5"/>
  </si>
  <si>
    <r>
      <t>・早見表中「期末一時扶助」欄を反映
【単価設定の根拠】
・生保基準の「期末一時扶助」は12月の1ヶ月のみ支給される項目である。
・よって、月額換算するには、1/12を乗じる必要がある。
・</t>
    </r>
    <r>
      <rPr>
        <b/>
        <u/>
        <sz val="11"/>
        <color indexed="10"/>
        <rFont val="ＭＳ Ｐゴシック"/>
        <family val="3"/>
        <charset val="128"/>
      </rPr>
      <t xml:space="preserve">端数は小数点第１位を切り捨てる。
</t>
    </r>
    <r>
      <rPr>
        <sz val="11"/>
        <color indexed="10"/>
        <rFont val="ＭＳ Ｐゴシック"/>
        <family val="3"/>
        <charset val="128"/>
      </rPr>
      <t>・これによって得た数値を上記世帯人数基準額の単価に加える。</t>
    </r>
    <rPh sb="1" eb="3">
      <t>ハヤミ</t>
    </rPh>
    <rPh sb="3" eb="4">
      <t>ヒョウ</t>
    </rPh>
    <rPh sb="4" eb="5">
      <t>チュウ</t>
    </rPh>
    <rPh sb="6" eb="8">
      <t>キマツ</t>
    </rPh>
    <rPh sb="8" eb="10">
      <t>イチジ</t>
    </rPh>
    <rPh sb="10" eb="12">
      <t>フジョ</t>
    </rPh>
    <rPh sb="13" eb="14">
      <t>ラン</t>
    </rPh>
    <rPh sb="15" eb="17">
      <t>ハンエイ</t>
    </rPh>
    <rPh sb="19" eb="21">
      <t>タンカ</t>
    </rPh>
    <rPh sb="21" eb="23">
      <t>セッテイ</t>
    </rPh>
    <rPh sb="24" eb="26">
      <t>コンキョ</t>
    </rPh>
    <rPh sb="29" eb="31">
      <t>セイホ</t>
    </rPh>
    <rPh sb="31" eb="33">
      <t>キジュン</t>
    </rPh>
    <rPh sb="35" eb="37">
      <t>キマツ</t>
    </rPh>
    <rPh sb="37" eb="39">
      <t>イチジ</t>
    </rPh>
    <rPh sb="39" eb="41">
      <t>フジョ</t>
    </rPh>
    <rPh sb="45" eb="46">
      <t>ガツ</t>
    </rPh>
    <rPh sb="49" eb="50">
      <t>ゲツ</t>
    </rPh>
    <rPh sb="52" eb="54">
      <t>シキュウ</t>
    </rPh>
    <rPh sb="57" eb="59">
      <t>コウモク</t>
    </rPh>
    <rPh sb="69" eb="71">
      <t>ゲツガク</t>
    </rPh>
    <rPh sb="71" eb="73">
      <t>カンサン</t>
    </rPh>
    <rPh sb="83" eb="84">
      <t>ジョウ</t>
    </rPh>
    <rPh sb="86" eb="88">
      <t>ヒツヨウ</t>
    </rPh>
    <rPh sb="94" eb="96">
      <t>ハスウ</t>
    </rPh>
    <rPh sb="97" eb="100">
      <t>ショウスウテン</t>
    </rPh>
    <rPh sb="100" eb="101">
      <t>ダイ</t>
    </rPh>
    <rPh sb="102" eb="103">
      <t>イ</t>
    </rPh>
    <rPh sb="104" eb="105">
      <t>キ</t>
    </rPh>
    <rPh sb="106" eb="107">
      <t>ス</t>
    </rPh>
    <rPh sb="118" eb="119">
      <t>エ</t>
    </rPh>
    <rPh sb="120" eb="122">
      <t>スウチ</t>
    </rPh>
    <rPh sb="123" eb="125">
      <t>ジョウキ</t>
    </rPh>
    <rPh sb="125" eb="127">
      <t>セタイ</t>
    </rPh>
    <rPh sb="127" eb="129">
      <t>ニンズウ</t>
    </rPh>
    <rPh sb="129" eb="131">
      <t>キジュン</t>
    </rPh>
    <rPh sb="131" eb="132">
      <t>ガク</t>
    </rPh>
    <rPh sb="133" eb="135">
      <t>タンカ</t>
    </rPh>
    <rPh sb="136" eb="137">
      <t>クワ</t>
    </rPh>
    <phoneticPr fontId="5"/>
  </si>
  <si>
    <t>→1/12</t>
    <phoneticPr fontId="5"/>
  </si>
  <si>
    <r>
      <t>・早見表中「冬季加算」欄を反映
【単価設定の根拠】
・生保基準の「冬季加算」は11月～3月の5か月間のみ支給される項目である。
・よって、月額換算するには、5/12を乗じる必要がある。
・</t>
    </r>
    <r>
      <rPr>
        <b/>
        <u/>
        <sz val="11"/>
        <color indexed="10"/>
        <rFont val="ＭＳ Ｐゴシック"/>
        <family val="3"/>
        <charset val="128"/>
      </rPr>
      <t xml:space="preserve">端数は小数点第１位を切り捨てる。
</t>
    </r>
    <r>
      <rPr>
        <sz val="11"/>
        <color indexed="10"/>
        <rFont val="ＭＳ Ｐゴシック"/>
        <family val="3"/>
        <charset val="128"/>
      </rPr>
      <t>・これによって得た数値を上記世帯人数基準額の単価に加える。</t>
    </r>
    <rPh sb="1" eb="3">
      <t>ハヤミ</t>
    </rPh>
    <rPh sb="3" eb="4">
      <t>ヒョウ</t>
    </rPh>
    <rPh sb="4" eb="5">
      <t>チュウ</t>
    </rPh>
    <rPh sb="6" eb="8">
      <t>トウキ</t>
    </rPh>
    <rPh sb="8" eb="10">
      <t>カサン</t>
    </rPh>
    <rPh sb="11" eb="12">
      <t>ラン</t>
    </rPh>
    <rPh sb="13" eb="15">
      <t>ハンエイ</t>
    </rPh>
    <rPh sb="17" eb="19">
      <t>タンカ</t>
    </rPh>
    <rPh sb="19" eb="21">
      <t>セッテイ</t>
    </rPh>
    <rPh sb="22" eb="24">
      <t>コンキョ</t>
    </rPh>
    <rPh sb="27" eb="29">
      <t>セイホ</t>
    </rPh>
    <rPh sb="29" eb="31">
      <t>キジュン</t>
    </rPh>
    <rPh sb="33" eb="35">
      <t>トウキ</t>
    </rPh>
    <rPh sb="35" eb="37">
      <t>カサン</t>
    </rPh>
    <rPh sb="41" eb="42">
      <t>ガツ</t>
    </rPh>
    <rPh sb="44" eb="45">
      <t>ガツ</t>
    </rPh>
    <rPh sb="48" eb="49">
      <t>ゲツ</t>
    </rPh>
    <rPh sb="49" eb="50">
      <t>カン</t>
    </rPh>
    <rPh sb="52" eb="54">
      <t>シキュウ</t>
    </rPh>
    <rPh sb="57" eb="59">
      <t>コウモク</t>
    </rPh>
    <rPh sb="69" eb="71">
      <t>ゲツガク</t>
    </rPh>
    <rPh sb="71" eb="73">
      <t>カンサン</t>
    </rPh>
    <rPh sb="83" eb="84">
      <t>ジョウ</t>
    </rPh>
    <rPh sb="86" eb="88">
      <t>ヒツヨウ</t>
    </rPh>
    <rPh sb="94" eb="96">
      <t>ハスウ</t>
    </rPh>
    <rPh sb="97" eb="100">
      <t>ショウスウテン</t>
    </rPh>
    <rPh sb="100" eb="101">
      <t>ダイ</t>
    </rPh>
    <rPh sb="102" eb="103">
      <t>イ</t>
    </rPh>
    <rPh sb="104" eb="105">
      <t>キ</t>
    </rPh>
    <rPh sb="106" eb="107">
      <t>ス</t>
    </rPh>
    <rPh sb="118" eb="119">
      <t>エ</t>
    </rPh>
    <rPh sb="120" eb="122">
      <t>スウチ</t>
    </rPh>
    <rPh sb="123" eb="125">
      <t>ジョウキ</t>
    </rPh>
    <rPh sb="125" eb="127">
      <t>セタイ</t>
    </rPh>
    <rPh sb="127" eb="129">
      <t>ニンズウ</t>
    </rPh>
    <rPh sb="129" eb="131">
      <t>キジュン</t>
    </rPh>
    <rPh sb="131" eb="132">
      <t>ガク</t>
    </rPh>
    <rPh sb="133" eb="135">
      <t>タンカ</t>
    </rPh>
    <rPh sb="136" eb="137">
      <t>クワ</t>
    </rPh>
    <phoneticPr fontId="5"/>
  </si>
  <si>
    <t>→5/12</t>
    <phoneticPr fontId="5"/>
  </si>
  <si>
    <t>教　育　扶　助</t>
    <rPh sb="0" eb="1">
      <t>キョウ</t>
    </rPh>
    <rPh sb="2" eb="3">
      <t>イク</t>
    </rPh>
    <rPh sb="4" eb="5">
      <t>タス</t>
    </rPh>
    <rPh sb="6" eb="7">
      <t>スケ</t>
    </rPh>
    <phoneticPr fontId="5"/>
  </si>
  <si>
    <t>小学校</t>
    <rPh sb="0" eb="3">
      <t>ショウガッコウ</t>
    </rPh>
    <phoneticPr fontId="5"/>
  </si>
  <si>
    <t>・「早見表」中「教育扶助」欄（小・中）を反映。
【単価設定の根拠】
・システムは生保基準の年額と年間所得の対比を行うため、生保基準を年額に換算する必要がある。
・システム上は「小中基準額」に計算される。
・生保基準の教育扶助は「基準額」「学級費等」「給食費」「学習支援費」から構成される。
・8月は給食費が除外されて支給されるので、年額を算定するには、右の式で算出された単価を用いる。</t>
    <rPh sb="8" eb="10">
      <t>キョウイク</t>
    </rPh>
    <rPh sb="15" eb="16">
      <t>ショウ</t>
    </rPh>
    <rPh sb="17" eb="18">
      <t>チュウ</t>
    </rPh>
    <rPh sb="25" eb="27">
      <t>タンカ</t>
    </rPh>
    <rPh sb="27" eb="29">
      <t>セッテイ</t>
    </rPh>
    <rPh sb="30" eb="32">
      <t>コンキョ</t>
    </rPh>
    <rPh sb="85" eb="86">
      <t>ジョウ</t>
    </rPh>
    <rPh sb="88" eb="90">
      <t>ショウチュウ</t>
    </rPh>
    <rPh sb="90" eb="92">
      <t>キジュン</t>
    </rPh>
    <rPh sb="92" eb="93">
      <t>ガク</t>
    </rPh>
    <rPh sb="95" eb="97">
      <t>ケイサン</t>
    </rPh>
    <rPh sb="103" eb="105">
      <t>セイホ</t>
    </rPh>
    <rPh sb="105" eb="107">
      <t>キジュン</t>
    </rPh>
    <rPh sb="108" eb="110">
      <t>キョウイク</t>
    </rPh>
    <rPh sb="110" eb="112">
      <t>フジョ</t>
    </rPh>
    <rPh sb="114" eb="116">
      <t>キジュン</t>
    </rPh>
    <rPh sb="116" eb="117">
      <t>ガク</t>
    </rPh>
    <rPh sb="119" eb="121">
      <t>ガッキュウ</t>
    </rPh>
    <rPh sb="121" eb="122">
      <t>ヒ</t>
    </rPh>
    <rPh sb="122" eb="123">
      <t>トウ</t>
    </rPh>
    <rPh sb="125" eb="128">
      <t>キュウショクヒ</t>
    </rPh>
    <rPh sb="130" eb="132">
      <t>ガクシュウ</t>
    </rPh>
    <rPh sb="132" eb="134">
      <t>シエン</t>
    </rPh>
    <rPh sb="134" eb="135">
      <t>ヒ</t>
    </rPh>
    <rPh sb="138" eb="140">
      <t>コウセイ</t>
    </rPh>
    <rPh sb="147" eb="148">
      <t>ガツ</t>
    </rPh>
    <rPh sb="149" eb="152">
      <t>キュウショクヒ</t>
    </rPh>
    <rPh sb="153" eb="155">
      <t>ジョガイ</t>
    </rPh>
    <rPh sb="158" eb="160">
      <t>シキュウ</t>
    </rPh>
    <rPh sb="169" eb="171">
      <t>サンテイ</t>
    </rPh>
    <rPh sb="176" eb="177">
      <t>ミギ</t>
    </rPh>
    <rPh sb="178" eb="179">
      <t>シキ</t>
    </rPh>
    <rPh sb="180" eb="182">
      <t>サンシュツ</t>
    </rPh>
    <rPh sb="185" eb="187">
      <t>タンカ</t>
    </rPh>
    <rPh sb="188" eb="189">
      <t>モチ</t>
    </rPh>
    <phoneticPr fontId="5"/>
  </si>
  <si>
    <t>中学校</t>
    <rPh sb="0" eb="3">
      <t>チュウガッコウ</t>
    </rPh>
    <phoneticPr fontId="5"/>
  </si>
  <si>
    <t>住　宅　扶　助</t>
    <rPh sb="0" eb="1">
      <t>ジュウ</t>
    </rPh>
    <rPh sb="2" eb="3">
      <t>タク</t>
    </rPh>
    <rPh sb="4" eb="5">
      <t>タス</t>
    </rPh>
    <rPh sb="6" eb="7">
      <t>スケ</t>
    </rPh>
    <phoneticPr fontId="5"/>
  </si>
  <si>
    <r>
      <t xml:space="preserve">・「早見表」中「住宅扶助」欄を反映。
</t>
    </r>
    <r>
      <rPr>
        <sz val="11"/>
        <color indexed="10"/>
        <rFont val="ＭＳ Ｐゴシック"/>
        <family val="3"/>
        <charset val="128"/>
      </rPr>
      <t>・システムの計算上では、申請状況入力時に入力する家賃額の12倍（×12月）が家賃年額として計算される。
・そのため、入力時に13,000×1.30＝16,900円を入力する。</t>
    </r>
    <rPh sb="25" eb="28">
      <t>ケイサンジョウ</t>
    </rPh>
    <rPh sb="31" eb="33">
      <t>シンセイ</t>
    </rPh>
    <rPh sb="33" eb="35">
      <t>ジョウキョウ</t>
    </rPh>
    <rPh sb="35" eb="38">
      <t>ニュウリョクジ</t>
    </rPh>
    <rPh sb="39" eb="41">
      <t>ニュウリョク</t>
    </rPh>
    <rPh sb="43" eb="45">
      <t>ヤチン</t>
    </rPh>
    <rPh sb="45" eb="46">
      <t>ガク</t>
    </rPh>
    <rPh sb="49" eb="50">
      <t>バイ</t>
    </rPh>
    <rPh sb="54" eb="55">
      <t>ツキ</t>
    </rPh>
    <rPh sb="57" eb="59">
      <t>ヤチン</t>
    </rPh>
    <rPh sb="59" eb="61">
      <t>ネンガク</t>
    </rPh>
    <rPh sb="64" eb="66">
      <t>ケイサン</t>
    </rPh>
    <rPh sb="77" eb="80">
      <t>ニュウリョクジ</t>
    </rPh>
    <rPh sb="99" eb="100">
      <t>エン</t>
    </rPh>
    <rPh sb="101" eb="103">
      <t>ニュウリョク</t>
    </rPh>
    <phoneticPr fontId="5"/>
  </si>
  <si>
    <t>・教育扶助の年額
・システム名称「小中基準額」</t>
    <rPh sb="1" eb="2">
      <t>キョウ</t>
    </rPh>
    <rPh sb="2" eb="3">
      <t>イク</t>
    </rPh>
    <rPh sb="3" eb="4">
      <t>タス</t>
    </rPh>
    <rPh sb="4" eb="5">
      <t>スケ</t>
    </rPh>
    <rPh sb="6" eb="8">
      <t>ネンガク</t>
    </rPh>
    <rPh sb="14" eb="16">
      <t>メイショウ</t>
    </rPh>
    <rPh sb="17" eb="19">
      <t>ショウチュウ</t>
    </rPh>
    <rPh sb="19" eb="21">
      <t>キジュン</t>
    </rPh>
    <rPh sb="21" eb="22">
      <t>ガク</t>
    </rPh>
    <phoneticPr fontId="5"/>
  </si>
  <si>
    <t>早見表中
「二類基準額」</t>
    <rPh sb="0" eb="1">
      <t>ハヤ</t>
    </rPh>
    <rPh sb="1" eb="2">
      <t>ミ</t>
    </rPh>
    <rPh sb="2" eb="3">
      <t>ヒョウ</t>
    </rPh>
    <rPh sb="3" eb="4">
      <t>チュウ</t>
    </rPh>
    <rPh sb="6" eb="7">
      <t>２</t>
    </rPh>
    <rPh sb="7" eb="8">
      <t>ルイ</t>
    </rPh>
    <rPh sb="8" eb="10">
      <t>キジュン</t>
    </rPh>
    <rPh sb="10" eb="11">
      <t>ガク</t>
    </rPh>
    <phoneticPr fontId="5"/>
  </si>
  <si>
    <t>早見表中
「教育扶助」
（小学校）</t>
    <rPh sb="0" eb="1">
      <t>ハヤ</t>
    </rPh>
    <rPh sb="1" eb="2">
      <t>ミ</t>
    </rPh>
    <rPh sb="2" eb="3">
      <t>ヒョウ</t>
    </rPh>
    <rPh sb="3" eb="4">
      <t>チュウ</t>
    </rPh>
    <rPh sb="6" eb="8">
      <t>キョウイク</t>
    </rPh>
    <rPh sb="8" eb="10">
      <t>フジョ</t>
    </rPh>
    <rPh sb="13" eb="16">
      <t>ショウガッコウ</t>
    </rPh>
    <phoneticPr fontId="5"/>
  </si>
  <si>
    <t>早見表中
「教育扶助」
（中学校）</t>
    <rPh sb="0" eb="1">
      <t>ハヤ</t>
    </rPh>
    <rPh sb="1" eb="2">
      <t>ミ</t>
    </rPh>
    <rPh sb="2" eb="3">
      <t>ヒョウ</t>
    </rPh>
    <rPh sb="3" eb="4">
      <t>チュウ</t>
    </rPh>
    <rPh sb="6" eb="8">
      <t>キョウイク</t>
    </rPh>
    <rPh sb="8" eb="10">
      <t>フジョ</t>
    </rPh>
    <rPh sb="13" eb="16">
      <t>チュウガッコウ</t>
    </rPh>
    <phoneticPr fontId="5"/>
  </si>
  <si>
    <t>早見表中
「住宅扶助」
一律月額
13,000円</t>
    <rPh sb="6" eb="8">
      <t>ジュウタク</t>
    </rPh>
    <rPh sb="12" eb="14">
      <t>イチリツ</t>
    </rPh>
    <rPh sb="14" eb="16">
      <t>ゲツガク</t>
    </rPh>
    <rPh sb="23" eb="24">
      <t>エン</t>
    </rPh>
    <phoneticPr fontId="5"/>
  </si>
  <si>
    <t>年齢範囲</t>
    <rPh sb="0" eb="2">
      <t>ネンレイ</t>
    </rPh>
    <rPh sb="2" eb="4">
      <t>ハンイ</t>
    </rPh>
    <phoneticPr fontId="1"/>
  </si>
  <si>
    <t>小学1年</t>
    <rPh sb="0" eb="2">
      <t>ショウガク</t>
    </rPh>
    <rPh sb="3" eb="4">
      <t>ネン</t>
    </rPh>
    <phoneticPr fontId="1"/>
  </si>
  <si>
    <t>小学2年</t>
    <rPh sb="0" eb="2">
      <t>ショウガク</t>
    </rPh>
    <rPh sb="3" eb="4">
      <t>ネン</t>
    </rPh>
    <phoneticPr fontId="1"/>
  </si>
  <si>
    <t>小学3年</t>
    <rPh sb="0" eb="2">
      <t>ショウガク</t>
    </rPh>
    <rPh sb="3" eb="4">
      <t>ネン</t>
    </rPh>
    <phoneticPr fontId="1"/>
  </si>
  <si>
    <t>小学4年</t>
    <rPh sb="0" eb="2">
      <t>ショウガク</t>
    </rPh>
    <rPh sb="3" eb="4">
      <t>ネン</t>
    </rPh>
    <phoneticPr fontId="1"/>
  </si>
  <si>
    <t>小学5年</t>
    <rPh sb="0" eb="2">
      <t>ショウガク</t>
    </rPh>
    <rPh sb="3" eb="4">
      <t>ネン</t>
    </rPh>
    <phoneticPr fontId="1"/>
  </si>
  <si>
    <t>小学6年</t>
    <rPh sb="0" eb="2">
      <t>ショウガク</t>
    </rPh>
    <rPh sb="3" eb="4">
      <t>ネン</t>
    </rPh>
    <phoneticPr fontId="1"/>
  </si>
  <si>
    <t>中学1年</t>
    <rPh sb="0" eb="2">
      <t>チュウガク</t>
    </rPh>
    <rPh sb="3" eb="4">
      <t>ネン</t>
    </rPh>
    <phoneticPr fontId="1"/>
  </si>
  <si>
    <t>中学2年</t>
    <rPh sb="0" eb="2">
      <t>チュウガク</t>
    </rPh>
    <rPh sb="3" eb="4">
      <t>ネン</t>
    </rPh>
    <phoneticPr fontId="1"/>
  </si>
  <si>
    <t>中学3年</t>
    <rPh sb="0" eb="2">
      <t>チュウガク</t>
    </rPh>
    <rPh sb="3" eb="4">
      <t>ネン</t>
    </rPh>
    <phoneticPr fontId="1"/>
  </si>
  <si>
    <t>世帯員</t>
    <rPh sb="0" eb="2">
      <t>セタイ</t>
    </rPh>
    <rPh sb="2" eb="3">
      <t>イン</t>
    </rPh>
    <phoneticPr fontId="1"/>
  </si>
  <si>
    <t>合計所得（世帯の合計所得額）</t>
    <rPh sb="0" eb="2">
      <t>ゴウケイ</t>
    </rPh>
    <rPh sb="2" eb="4">
      <t>ショトク</t>
    </rPh>
    <rPh sb="5" eb="7">
      <t>セタイ</t>
    </rPh>
    <rPh sb="8" eb="10">
      <t>ゴウケイ</t>
    </rPh>
    <rPh sb="10" eb="12">
      <t>ショトク</t>
    </rPh>
    <rPh sb="12" eb="13">
      <t>ガク</t>
    </rPh>
    <phoneticPr fontId="5"/>
  </si>
  <si>
    <t>超過所得額（所得がいくら超過しているか）</t>
    <rPh sb="0" eb="2">
      <t>チョウカ</t>
    </rPh>
    <rPh sb="2" eb="4">
      <t>ショトク</t>
    </rPh>
    <rPh sb="4" eb="5">
      <t>ガク</t>
    </rPh>
    <rPh sb="6" eb="8">
      <t>ショトク</t>
    </rPh>
    <rPh sb="12" eb="14">
      <t>チョウカ</t>
    </rPh>
    <phoneticPr fontId="1"/>
  </si>
  <si>
    <t>判定結果</t>
    <rPh sb="0" eb="2">
      <t>ハンテイ</t>
    </rPh>
    <rPh sb="2" eb="4">
      <t>ケッカ</t>
    </rPh>
    <phoneticPr fontId="1"/>
  </si>
  <si>
    <t>就学援助所得計算シート</t>
    <phoneticPr fontId="1"/>
  </si>
  <si>
    <r>
      <t xml:space="preserve">生年月日
</t>
    </r>
    <r>
      <rPr>
        <sz val="9"/>
        <rFont val="游ゴシック"/>
        <family val="3"/>
        <charset val="128"/>
        <scheme val="minor"/>
      </rPr>
      <t>例S60/5/1</t>
    </r>
    <rPh sb="0" eb="2">
      <t>セイネン</t>
    </rPh>
    <rPh sb="2" eb="4">
      <t>ガッピ</t>
    </rPh>
    <rPh sb="5" eb="6">
      <t>レイ</t>
    </rPh>
    <phoneticPr fontId="1"/>
  </si>
  <si>
    <t>前年度の年齢</t>
    <rPh sb="0" eb="3">
      <t>ゼンネンド</t>
    </rPh>
    <rPh sb="4" eb="6">
      <t>ネンレイ</t>
    </rPh>
    <phoneticPr fontId="1"/>
  </si>
  <si>
    <t>所得金額</t>
    <rPh sb="0" eb="2">
      <t>ショトク</t>
    </rPh>
    <rPh sb="2" eb="4">
      <t>キンガク</t>
    </rPh>
    <phoneticPr fontId="5"/>
  </si>
  <si>
    <t>社会保険料控除額</t>
    <rPh sb="0" eb="5">
      <t>シャカイホケンリョウ</t>
    </rPh>
    <rPh sb="5" eb="7">
      <t>コウジョ</t>
    </rPh>
    <rPh sb="7" eb="8">
      <t>ガク</t>
    </rPh>
    <phoneticPr fontId="5"/>
  </si>
  <si>
    <t>生命保険料控除額</t>
    <rPh sb="0" eb="2">
      <t>セイメイ</t>
    </rPh>
    <rPh sb="2" eb="5">
      <t>ホケンリョウ</t>
    </rPh>
    <rPh sb="5" eb="7">
      <t>コウジョ</t>
    </rPh>
    <rPh sb="7" eb="8">
      <t>ガク</t>
    </rPh>
    <phoneticPr fontId="5"/>
  </si>
  <si>
    <t>地震保険料控除額</t>
    <rPh sb="0" eb="2">
      <t>ジシン</t>
    </rPh>
    <rPh sb="2" eb="5">
      <t>ホケンリョウ</t>
    </rPh>
    <rPh sb="5" eb="7">
      <t>コウジョ</t>
    </rPh>
    <rPh sb="7" eb="8">
      <t>ガク</t>
    </rPh>
    <phoneticPr fontId="5"/>
  </si>
  <si>
    <t>認定基準額（認定となる所得の上限額）</t>
    <rPh sb="0" eb="2">
      <t>ニンテイ</t>
    </rPh>
    <rPh sb="2" eb="4">
      <t>キジュン</t>
    </rPh>
    <rPh sb="4" eb="5">
      <t>ガク</t>
    </rPh>
    <rPh sb="6" eb="8">
      <t>ニンテイ</t>
    </rPh>
    <rPh sb="11" eb="13">
      <t>ショトク</t>
    </rPh>
    <rPh sb="14" eb="16">
      <t>ジョウゲン</t>
    </rPh>
    <rPh sb="16" eb="17">
      <t>ガク</t>
    </rPh>
    <phoneticPr fontId="5"/>
  </si>
  <si>
    <r>
      <t xml:space="preserve">　～このシートの使い方～
　① </t>
    </r>
    <r>
      <rPr>
        <b/>
        <sz val="12"/>
        <color rgb="FF0070C0"/>
        <rFont val="游ゴシック"/>
        <family val="3"/>
        <charset val="128"/>
        <scheme val="minor"/>
      </rPr>
      <t>青列</t>
    </r>
    <r>
      <rPr>
        <sz val="12"/>
        <rFont val="游ゴシック"/>
        <family val="3"/>
        <charset val="128"/>
        <scheme val="minor"/>
      </rPr>
      <t xml:space="preserve">に世帯全員の生年月日を入力
　② </t>
    </r>
    <r>
      <rPr>
        <b/>
        <sz val="12"/>
        <color rgb="FFFF0000"/>
        <rFont val="游ゴシック"/>
        <family val="3"/>
        <charset val="128"/>
        <scheme val="minor"/>
      </rPr>
      <t>赤列</t>
    </r>
    <r>
      <rPr>
        <sz val="12"/>
        <rFont val="游ゴシック"/>
        <family val="3"/>
        <charset val="128"/>
        <scheme val="minor"/>
      </rPr>
      <t xml:space="preserve">に各世帯員の合計所得を入力
　③ </t>
    </r>
    <r>
      <rPr>
        <b/>
        <sz val="12"/>
        <color rgb="FFE5EA04"/>
        <rFont val="游ゴシック"/>
        <family val="3"/>
        <charset val="128"/>
        <scheme val="minor"/>
      </rPr>
      <t>黄列</t>
    </r>
    <r>
      <rPr>
        <sz val="12"/>
        <rFont val="游ゴシック"/>
        <family val="3"/>
        <charset val="128"/>
        <scheme val="minor"/>
      </rPr>
      <t xml:space="preserve">に各控除額を順に入力
　④ </t>
    </r>
    <r>
      <rPr>
        <b/>
        <sz val="12"/>
        <color rgb="FF00B050"/>
        <rFont val="游ゴシック"/>
        <family val="3"/>
        <charset val="128"/>
        <scheme val="minor"/>
      </rPr>
      <t>判定結果</t>
    </r>
    <r>
      <rPr>
        <sz val="12"/>
        <rFont val="游ゴシック"/>
        <family val="3"/>
        <charset val="128"/>
        <scheme val="minor"/>
      </rPr>
      <t>を確認
　※ 赤列、黄列には課税証明書の額を入力してください。
　※ 令和表示非対応の場合は西暦で入力してください。
　※ 判定結果は目安です。実際の判定結果を保証するものではありません。</t>
    </r>
    <phoneticPr fontId="1"/>
  </si>
  <si>
    <t>12～17歳</t>
    <phoneticPr fontId="5"/>
  </si>
  <si>
    <t>18～19歳</t>
    <phoneticPr fontId="5"/>
  </si>
  <si>
    <t>60～64歳</t>
    <phoneticPr fontId="5"/>
  </si>
  <si>
    <t>65～69歳</t>
    <phoneticPr fontId="5"/>
  </si>
  <si>
    <t>70～74歳</t>
    <phoneticPr fontId="1"/>
  </si>
  <si>
    <t>75歳～</t>
    <phoneticPr fontId="5"/>
  </si>
  <si>
    <t>前年
学年</t>
    <rPh sb="0" eb="2">
      <t>ゼンネン</t>
    </rPh>
    <rPh sb="3" eb="5">
      <t>ガクネン</t>
    </rPh>
    <phoneticPr fontId="1"/>
  </si>
  <si>
    <t>０～２歳</t>
    <rPh sb="3" eb="4">
      <t>サイ</t>
    </rPh>
    <phoneticPr fontId="5"/>
  </si>
  <si>
    <t>３～５歳</t>
    <rPh sb="3" eb="4">
      <t>サイ</t>
    </rPh>
    <phoneticPr fontId="5"/>
  </si>
  <si>
    <t>６～11歳</t>
    <rPh sb="4" eb="5">
      <t>サイ</t>
    </rPh>
    <phoneticPr fontId="5"/>
  </si>
  <si>
    <t>12～17歳</t>
    <rPh sb="5" eb="6">
      <t>サイ</t>
    </rPh>
    <phoneticPr fontId="5"/>
  </si>
  <si>
    <t>18～19歳</t>
    <rPh sb="5" eb="6">
      <t>サイ</t>
    </rPh>
    <phoneticPr fontId="5"/>
  </si>
  <si>
    <t>20～40歳</t>
    <rPh sb="5" eb="6">
      <t>サイ</t>
    </rPh>
    <phoneticPr fontId="5"/>
  </si>
  <si>
    <t>41～59歳</t>
    <rPh sb="5" eb="6">
      <t>サイ</t>
    </rPh>
    <phoneticPr fontId="5"/>
  </si>
  <si>
    <t>60～64歳</t>
    <rPh sb="5" eb="6">
      <t>サイ</t>
    </rPh>
    <phoneticPr fontId="5"/>
  </si>
  <si>
    <t>65～69歳</t>
    <rPh sb="5" eb="6">
      <t>サイ</t>
    </rPh>
    <phoneticPr fontId="5"/>
  </si>
  <si>
    <t>70～74歳</t>
    <rPh sb="5" eb="6">
      <t>サイ</t>
    </rPh>
    <phoneticPr fontId="5"/>
  </si>
  <si>
    <t>75歳～</t>
    <rPh sb="2" eb="3">
      <t>サイ</t>
    </rPh>
    <phoneticPr fontId="5"/>
  </si>
  <si>
    <t>特例加算</t>
    <rPh sb="0" eb="2">
      <t>トクレイ</t>
    </rPh>
    <rPh sb="2" eb="4">
      <t>カサン</t>
    </rPh>
    <phoneticPr fontId="1"/>
  </si>
  <si>
    <t>小学校
（教育扶助7,980×12月＋学習支援費16,000）－給食費８月分4,300＝107,460</t>
    <rPh sb="0" eb="3">
      <t>ショウガッコウ</t>
    </rPh>
    <rPh sb="5" eb="9">
      <t>キョウイクフジョ</t>
    </rPh>
    <rPh sb="17" eb="18">
      <t>ツキ</t>
    </rPh>
    <rPh sb="19" eb="23">
      <t>ガクシュウシエン</t>
    </rPh>
    <rPh sb="23" eb="24">
      <t>ヒ</t>
    </rPh>
    <rPh sb="32" eb="35">
      <t>キュウショクヒ</t>
    </rPh>
    <rPh sb="36" eb="38">
      <t>ガツブン</t>
    </rPh>
    <phoneticPr fontId="5"/>
  </si>
  <si>
    <t>中学校
（教育扶助11,100×12月＋学習支援費59,800）－給食費８月分5,000＝188,000</t>
    <rPh sb="0" eb="3">
      <t>チュウガッコウ</t>
    </rPh>
    <rPh sb="5" eb="7">
      <t>キョウイク</t>
    </rPh>
    <rPh sb="7" eb="9">
      <t>フジョ</t>
    </rPh>
    <rPh sb="18" eb="19">
      <t>ツキ</t>
    </rPh>
    <rPh sb="20" eb="25">
      <t>ガクシュウシエンヒ</t>
    </rPh>
    <rPh sb="33" eb="36">
      <t>キュウショクヒ</t>
    </rPh>
    <rPh sb="37" eb="39">
      <t>ガツブン</t>
    </rPh>
    <phoneticPr fontId="5"/>
  </si>
  <si>
    <r>
      <t xml:space="preserve">・「早見表」中「一類の額」欄を反映。
・「一類の額」修正時は、このシートの数値（1人単価のみ）を変更する。
・このシート上の数値のリンク先=入力ﾌｫｰﾑ「第一類人数金額」。
</t>
    </r>
    <r>
      <rPr>
        <sz val="11"/>
        <color indexed="10"/>
        <rFont val="ＭＳ Ｐゴシック"/>
        <family val="3"/>
        <charset val="128"/>
      </rPr>
      <t>【単価設定の根拠】
・システムは生保基準の年額と年間所得の対比を行うため、生保基準を年額に換算する必要がある。
・「生保１類」の計算は、システムの「年齢基準額」に相当する
・システム計算では、「年齢基準額」に自動的に「１．３倍」が乗じないため、あらかじめテーブル単価で設定する必要がある。
・補正係数は自動で乗じるので考慮する必要はない　例：2人→0.8700など
・0～2歳　43,240×12月＝518,880
・3～5歳　43,240×12月＝518,880
・6～11歳　45,060×12月＝540,720
・12～17歳　47,790×12月＝573,480
・18～19歳　45,520×12月＝546,240
・20～40歳　45,520×12月＝546,240
・41～59歳　45,520×12月＝546,240
・60～64歳　45,520×12月＝546,240
・65～69歳　45,060×12月＝540,720
・70～74歳　45,060×12月＝540,720
・75歳～　　 38,690×12月＝464,280</t>
    </r>
    <rPh sb="2" eb="3">
      <t>ハヤ</t>
    </rPh>
    <rPh sb="3" eb="4">
      <t>ミ</t>
    </rPh>
    <rPh sb="4" eb="5">
      <t>ヒョウ</t>
    </rPh>
    <rPh sb="6" eb="7">
      <t>チュウ</t>
    </rPh>
    <rPh sb="8" eb="9">
      <t>イチ</t>
    </rPh>
    <rPh sb="9" eb="10">
      <t>ルイ</t>
    </rPh>
    <rPh sb="11" eb="12">
      <t>ガク</t>
    </rPh>
    <rPh sb="13" eb="14">
      <t>ラン</t>
    </rPh>
    <rPh sb="15" eb="17">
      <t>ハンエイ</t>
    </rPh>
    <rPh sb="26" eb="28">
      <t>シュウセイ</t>
    </rPh>
    <rPh sb="28" eb="29">
      <t>ジ</t>
    </rPh>
    <rPh sb="37" eb="39">
      <t>スウチ</t>
    </rPh>
    <rPh sb="41" eb="42">
      <t>ニン</t>
    </rPh>
    <rPh sb="42" eb="44">
      <t>タンカ</t>
    </rPh>
    <rPh sb="48" eb="50">
      <t>ヘンコウ</t>
    </rPh>
    <rPh sb="78" eb="79">
      <t>イチ</t>
    </rPh>
    <rPh sb="88" eb="90">
      <t>タンカ</t>
    </rPh>
    <rPh sb="90" eb="92">
      <t>セッテイ</t>
    </rPh>
    <rPh sb="93" eb="95">
      <t>コンキョ</t>
    </rPh>
    <rPh sb="103" eb="105">
      <t>セイホ</t>
    </rPh>
    <rPh sb="105" eb="107">
      <t>キジュン</t>
    </rPh>
    <rPh sb="108" eb="110">
      <t>ネンガク</t>
    </rPh>
    <rPh sb="111" eb="113">
      <t>ネンカン</t>
    </rPh>
    <rPh sb="113" eb="115">
      <t>ショトク</t>
    </rPh>
    <rPh sb="116" eb="118">
      <t>タイヒ</t>
    </rPh>
    <rPh sb="119" eb="120">
      <t>オコナ</t>
    </rPh>
    <rPh sb="124" eb="126">
      <t>セイホ</t>
    </rPh>
    <rPh sb="126" eb="128">
      <t>キジュン</t>
    </rPh>
    <rPh sb="129" eb="131">
      <t>ネンガク</t>
    </rPh>
    <rPh sb="132" eb="134">
      <t>カンサン</t>
    </rPh>
    <rPh sb="136" eb="138">
      <t>ヒツヨウ</t>
    </rPh>
    <rPh sb="145" eb="147">
      <t>セイホ</t>
    </rPh>
    <rPh sb="148" eb="149">
      <t>ルイ</t>
    </rPh>
    <rPh sb="151" eb="153">
      <t>ケイサン</t>
    </rPh>
    <rPh sb="161" eb="163">
      <t>ネンレイ</t>
    </rPh>
    <rPh sb="163" eb="165">
      <t>キジュン</t>
    </rPh>
    <rPh sb="165" eb="166">
      <t>ガク</t>
    </rPh>
    <rPh sb="168" eb="170">
      <t>ソウトウ</t>
    </rPh>
    <rPh sb="233" eb="235">
      <t>ホセイ</t>
    </rPh>
    <rPh sb="235" eb="237">
      <t>ケイスウ</t>
    </rPh>
    <rPh sb="238" eb="240">
      <t>ジドウ</t>
    </rPh>
    <rPh sb="241" eb="242">
      <t>ジョウ</t>
    </rPh>
    <rPh sb="246" eb="248">
      <t>コウリョ</t>
    </rPh>
    <rPh sb="250" eb="252">
      <t>ヒツヨウ</t>
    </rPh>
    <rPh sb="256" eb="257">
      <t>レイ</t>
    </rPh>
    <rPh sb="259" eb="260">
      <t>ニン</t>
    </rPh>
    <rPh sb="274" eb="275">
      <t>サイ</t>
    </rPh>
    <rPh sb="285" eb="286">
      <t>ツキ</t>
    </rPh>
    <rPh sb="299" eb="300">
      <t>サイ</t>
    </rPh>
    <rPh sb="310" eb="311">
      <t>ツキ</t>
    </rPh>
    <rPh sb="325" eb="326">
      <t>サイ</t>
    </rPh>
    <rPh sb="336" eb="337">
      <t>ツキ</t>
    </rPh>
    <rPh sb="352" eb="353">
      <t>サイ</t>
    </rPh>
    <rPh sb="363" eb="364">
      <t>ツキ</t>
    </rPh>
    <rPh sb="379" eb="380">
      <t>サイ</t>
    </rPh>
    <rPh sb="390" eb="391">
      <t>ツキ</t>
    </rPh>
    <rPh sb="406" eb="407">
      <t>サイ</t>
    </rPh>
    <rPh sb="417" eb="418">
      <t>ツキ</t>
    </rPh>
    <rPh sb="433" eb="434">
      <t>サイ</t>
    </rPh>
    <rPh sb="444" eb="445">
      <t>ツキ</t>
    </rPh>
    <rPh sb="460" eb="461">
      <t>サイ</t>
    </rPh>
    <rPh sb="471" eb="472">
      <t>ツキ</t>
    </rPh>
    <rPh sb="487" eb="488">
      <t>サイ</t>
    </rPh>
    <rPh sb="498" eb="499">
      <t>ツキ</t>
    </rPh>
    <rPh sb="514" eb="515">
      <t>サイ</t>
    </rPh>
    <rPh sb="525" eb="526">
      <t>ツキ</t>
    </rPh>
    <rPh sb="538" eb="539">
      <t>サイ</t>
    </rPh>
    <rPh sb="552" eb="553">
      <t>ツキ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</si>
</sst>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.0_);[Red]\(#,##0.0\)"/>
    <numFmt numFmtId="178" formatCode="[$-411]ge\.m\.d;@"/>
  </numFmts>
  <fonts count="2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2"/>
      <color rgb="FF0070C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2"/>
      <color rgb="FFE5EA04"/>
      <name val="游ゴシック"/>
      <family val="3"/>
      <charset val="128"/>
      <scheme val="minor"/>
    </font>
    <font>
      <b/>
      <sz val="12"/>
      <color rgb="FF00B050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C9CBA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F8FC46"/>
        <bgColor indexed="64"/>
      </patternFill>
    </fill>
    <fill>
      <patternFill patternType="solid">
        <fgColor rgb="FF12E05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6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3" fillId="0" borderId="1" xfId="2" applyBorder="1" applyAlignment="1">
      <alignment horizontal="center" vertical="center"/>
    </xf>
    <xf numFmtId="38" fontId="3" fillId="0" borderId="1" xfId="3" applyFont="1" applyBorder="1" applyAlignment="1">
      <alignment horizontal="center" vertical="center"/>
    </xf>
    <xf numFmtId="0" fontId="3" fillId="0" borderId="1" xfId="2" applyFill="1" applyBorder="1" applyAlignment="1">
      <alignment horizontal="center" vertical="center"/>
    </xf>
    <xf numFmtId="0" fontId="3" fillId="0" borderId="0" xfId="2"/>
    <xf numFmtId="38" fontId="3" fillId="4" borderId="1" xfId="3" applyFont="1" applyFill="1" applyBorder="1" applyAlignment="1">
      <alignment vertical="center"/>
    </xf>
    <xf numFmtId="0" fontId="3" fillId="0" borderId="1" xfId="2" applyBorder="1" applyAlignment="1">
      <alignment horizontal="center" vertical="center" wrapText="1"/>
    </xf>
    <xf numFmtId="38" fontId="3" fillId="0" borderId="1" xfId="3" applyFont="1" applyBorder="1" applyAlignment="1">
      <alignment vertical="center"/>
    </xf>
    <xf numFmtId="0" fontId="3" fillId="0" borderId="1" xfId="2" applyBorder="1" applyAlignment="1">
      <alignment shrinkToFit="1"/>
    </xf>
    <xf numFmtId="0" fontId="3" fillId="0" borderId="1" xfId="2" applyBorder="1" applyAlignment="1">
      <alignment vertical="center"/>
    </xf>
    <xf numFmtId="38" fontId="3" fillId="0" borderId="1" xfId="3" applyFont="1" applyBorder="1" applyAlignment="1"/>
    <xf numFmtId="38" fontId="3" fillId="2" borderId="1" xfId="3" applyFont="1" applyFill="1" applyBorder="1" applyAlignment="1">
      <alignment vertical="center"/>
    </xf>
    <xf numFmtId="38" fontId="3" fillId="0" borderId="3" xfId="3" applyFont="1" applyBorder="1" applyAlignment="1"/>
    <xf numFmtId="0" fontId="3" fillId="0" borderId="1" xfId="2" applyBorder="1" applyAlignment="1">
      <alignment horizontal="center" wrapText="1"/>
    </xf>
    <xf numFmtId="0" fontId="3" fillId="0" borderId="1" xfId="2" applyBorder="1"/>
    <xf numFmtId="38" fontId="3" fillId="2" borderId="1" xfId="3" applyFont="1" applyFill="1" applyBorder="1" applyAlignment="1"/>
    <xf numFmtId="38" fontId="3" fillId="0" borderId="7" xfId="3" applyFont="1" applyBorder="1" applyAlignment="1"/>
    <xf numFmtId="0" fontId="3" fillId="0" borderId="7" xfId="2" applyBorder="1"/>
    <xf numFmtId="38" fontId="3" fillId="0" borderId="0" xfId="3" applyFont="1" applyAlignment="1"/>
    <xf numFmtId="0" fontId="3" fillId="0" borderId="1" xfId="2" applyBorder="1" applyAlignment="1">
      <alignment horizontal="center" vertical="center" textRotation="255" wrapText="1"/>
    </xf>
    <xf numFmtId="0" fontId="3" fillId="0" borderId="1" xfId="2" applyBorder="1" applyAlignment="1">
      <alignment horizontal="left" vertical="center" wrapText="1"/>
    </xf>
    <xf numFmtId="0" fontId="3" fillId="0" borderId="8" xfId="2" applyBorder="1"/>
    <xf numFmtId="0" fontId="3" fillId="0" borderId="0" xfId="2" applyAlignment="1">
      <alignment horizontal="center"/>
    </xf>
    <xf numFmtId="176" fontId="11" fillId="0" borderId="1" xfId="2" applyNumberFormat="1" applyFont="1" applyFill="1" applyBorder="1" applyAlignment="1" applyProtection="1">
      <alignment horizontal="center" vertical="center" shrinkToFit="1"/>
    </xf>
    <xf numFmtId="176" fontId="12" fillId="6" borderId="1" xfId="2" applyNumberFormat="1" applyFont="1" applyFill="1" applyBorder="1" applyAlignment="1" applyProtection="1">
      <alignment vertical="center" shrinkToFit="1"/>
    </xf>
    <xf numFmtId="176" fontId="13" fillId="0" borderId="0" xfId="2" applyNumberFormat="1" applyFont="1" applyFill="1" applyBorder="1" applyAlignment="1" applyProtection="1">
      <alignment vertical="center"/>
    </xf>
    <xf numFmtId="176" fontId="13" fillId="0" borderId="0" xfId="2" applyNumberFormat="1" applyFont="1" applyFill="1" applyBorder="1" applyAlignment="1" applyProtection="1">
      <alignment vertical="center" shrinkToFit="1"/>
    </xf>
    <xf numFmtId="178" fontId="13" fillId="0" borderId="0" xfId="2" applyNumberFormat="1" applyFont="1" applyFill="1" applyBorder="1" applyAlignment="1" applyProtection="1">
      <alignment vertical="center"/>
    </xf>
    <xf numFmtId="178" fontId="13" fillId="0" borderId="2" xfId="2" applyNumberFormat="1" applyFont="1" applyFill="1" applyBorder="1" applyAlignment="1" applyProtection="1">
      <alignment vertical="center"/>
    </xf>
    <xf numFmtId="176" fontId="13" fillId="0" borderId="2" xfId="2" applyNumberFormat="1" applyFont="1" applyFill="1" applyBorder="1" applyAlignment="1" applyProtection="1">
      <alignment vertical="center" shrinkToFit="1"/>
    </xf>
    <xf numFmtId="176" fontId="13" fillId="0" borderId="1" xfId="2" applyNumberFormat="1" applyFont="1" applyFill="1" applyBorder="1" applyAlignment="1" applyProtection="1">
      <alignment horizontal="center" vertical="center" shrinkToFit="1"/>
    </xf>
    <xf numFmtId="176" fontId="13" fillId="0" borderId="1" xfId="2" applyNumberFormat="1" applyFont="1" applyFill="1" applyBorder="1" applyAlignment="1" applyProtection="1">
      <alignment vertical="center"/>
    </xf>
    <xf numFmtId="176" fontId="13" fillId="0" borderId="3" xfId="2" applyNumberFormat="1" applyFont="1" applyFill="1" applyBorder="1" applyAlignment="1" applyProtection="1">
      <alignment vertical="center" shrinkToFit="1"/>
    </xf>
    <xf numFmtId="176" fontId="13" fillId="0" borderId="3" xfId="2" applyNumberFormat="1" applyFont="1" applyFill="1" applyBorder="1" applyAlignment="1" applyProtection="1">
      <alignment vertical="center" wrapText="1" shrinkToFit="1"/>
    </xf>
    <xf numFmtId="176" fontId="13" fillId="0" borderId="1" xfId="2" applyNumberFormat="1" applyFont="1" applyFill="1" applyBorder="1" applyAlignment="1" applyProtection="1">
      <alignment vertical="center" wrapText="1" shrinkToFit="1"/>
    </xf>
    <xf numFmtId="176" fontId="13" fillId="0" borderId="1" xfId="2" applyNumberFormat="1" applyFont="1" applyFill="1" applyBorder="1" applyAlignment="1" applyProtection="1">
      <alignment vertical="center" shrinkToFit="1"/>
    </xf>
    <xf numFmtId="176" fontId="13" fillId="0" borderId="1" xfId="2" applyNumberFormat="1" applyFont="1" applyFill="1" applyBorder="1" applyAlignment="1" applyProtection="1">
      <alignment vertical="center" wrapText="1"/>
    </xf>
    <xf numFmtId="176" fontId="13" fillId="0" borderId="1" xfId="2" applyNumberFormat="1" applyFont="1" applyFill="1" applyBorder="1" applyAlignment="1" applyProtection="1">
      <alignment horizontal="right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13" fillId="0" borderId="1" xfId="2" applyNumberFormat="1" applyFont="1" applyFill="1" applyBorder="1" applyAlignment="1" applyProtection="1">
      <alignment horizontal="right" vertical="center" shrinkToFit="1"/>
    </xf>
    <xf numFmtId="176" fontId="13" fillId="0" borderId="0" xfId="2" applyNumberFormat="1" applyFont="1" applyFill="1" applyBorder="1" applyAlignment="1" applyProtection="1">
      <alignment horizontal="center" vertical="center"/>
    </xf>
    <xf numFmtId="176" fontId="13" fillId="0" borderId="0" xfId="2" applyNumberFormat="1" applyFont="1" applyFill="1" applyBorder="1" applyAlignment="1" applyProtection="1">
      <alignment horizontal="left" vertical="center" shrinkToFit="1"/>
    </xf>
    <xf numFmtId="177" fontId="13" fillId="0" borderId="1" xfId="2" applyNumberFormat="1" applyFont="1" applyFill="1" applyBorder="1" applyAlignment="1" applyProtection="1">
      <alignment horizontal="right" vertical="center" shrinkToFit="1"/>
    </xf>
    <xf numFmtId="176" fontId="13" fillId="0" borderId="0" xfId="2" applyNumberFormat="1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vertical="center"/>
    </xf>
    <xf numFmtId="38" fontId="14" fillId="0" borderId="1" xfId="1" applyFont="1" applyFill="1" applyBorder="1" applyAlignment="1" applyProtection="1">
      <alignment vertical="center" shrinkToFit="1"/>
    </xf>
    <xf numFmtId="176" fontId="11" fillId="0" borderId="1" xfId="2" applyNumberFormat="1" applyFont="1" applyFill="1" applyBorder="1" applyAlignment="1" applyProtection="1">
      <alignment horizontal="center" vertical="center" wrapText="1" shrinkToFit="1"/>
    </xf>
    <xf numFmtId="178" fontId="13" fillId="3" borderId="1" xfId="2" applyNumberFormat="1" applyFont="1" applyFill="1" applyBorder="1" applyAlignment="1" applyProtection="1">
      <alignment horizontal="right" vertical="center" shrinkToFit="1"/>
      <protection locked="0"/>
    </xf>
    <xf numFmtId="176" fontId="13" fillId="7" borderId="1" xfId="2" applyNumberFormat="1" applyFont="1" applyFill="1" applyBorder="1" applyAlignment="1" applyProtection="1">
      <alignment horizontal="right" vertical="center" shrinkToFit="1"/>
      <protection locked="0"/>
    </xf>
    <xf numFmtId="176" fontId="13" fillId="8" borderId="1" xfId="2" applyNumberFormat="1" applyFont="1" applyFill="1" applyBorder="1" applyAlignment="1" applyProtection="1">
      <alignment horizontal="right" vertical="center" shrinkToFit="1"/>
      <protection locked="0"/>
    </xf>
    <xf numFmtId="176" fontId="12" fillId="0" borderId="1" xfId="2" applyNumberFormat="1" applyFont="1" applyFill="1" applyBorder="1" applyAlignment="1" applyProtection="1">
      <alignment horizontal="right" vertical="center" shrinkToFit="1"/>
    </xf>
    <xf numFmtId="176" fontId="14" fillId="9" borderId="1" xfId="2" applyNumberFormat="1" applyFont="1" applyFill="1" applyBorder="1" applyAlignment="1" applyProtection="1">
      <alignment horizontal="center" vertical="center" shrinkToFit="1"/>
    </xf>
    <xf numFmtId="0" fontId="3" fillId="0" borderId="10" xfId="2" applyBorder="1" applyAlignment="1">
      <alignment horizontal="center" vertical="center"/>
    </xf>
    <xf numFmtId="0" fontId="3" fillId="0" borderId="10" xfId="2" applyBorder="1" applyAlignment="1">
      <alignment horizontal="center" vertical="center" wrapText="1"/>
    </xf>
    <xf numFmtId="38" fontId="3" fillId="4" borderId="11" xfId="3" applyFont="1" applyFill="1" applyBorder="1" applyAlignment="1">
      <alignment vertical="center"/>
    </xf>
    <xf numFmtId="38" fontId="3" fillId="0" borderId="11" xfId="3" applyFont="1" applyBorder="1" applyAlignment="1">
      <alignment vertical="center"/>
    </xf>
    <xf numFmtId="38" fontId="3" fillId="0" borderId="0" xfId="3" applyFont="1" applyBorder="1" applyAlignment="1"/>
    <xf numFmtId="38" fontId="12" fillId="6" borderId="0" xfId="1" applyFont="1" applyFill="1" applyBorder="1" applyAlignment="1" applyProtection="1">
      <alignment vertical="center" shrinkToFit="1"/>
    </xf>
    <xf numFmtId="38" fontId="12" fillId="5" borderId="0" xfId="1" applyFont="1" applyFill="1" applyBorder="1" applyAlignment="1" applyProtection="1">
      <alignment vertical="center" shrinkToFit="1"/>
    </xf>
    <xf numFmtId="176" fontId="15" fillId="0" borderId="2" xfId="2" applyNumberFormat="1" applyFont="1" applyFill="1" applyBorder="1" applyAlignment="1" applyProtection="1">
      <alignment horizontal="center" vertical="center"/>
    </xf>
    <xf numFmtId="176" fontId="11" fillId="0" borderId="1" xfId="2" applyNumberFormat="1" applyFont="1" applyFill="1" applyBorder="1" applyAlignment="1" applyProtection="1">
      <alignment horizontal="left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176" fontId="11" fillId="0" borderId="4" xfId="2" applyNumberFormat="1" applyFont="1" applyFill="1" applyBorder="1" applyAlignment="1" applyProtection="1">
      <alignment horizontal="left" vertical="center" wrapText="1" shrinkToFit="1"/>
    </xf>
    <xf numFmtId="176" fontId="11" fillId="0" borderId="0" xfId="2" applyNumberFormat="1" applyFont="1" applyFill="1" applyBorder="1" applyAlignment="1" applyProtection="1">
      <alignment horizontal="left" vertical="center" shrinkToFit="1"/>
    </xf>
    <xf numFmtId="176" fontId="11" fillId="0" borderId="4" xfId="2" applyNumberFormat="1" applyFont="1" applyFill="1" applyBorder="1" applyAlignment="1" applyProtection="1">
      <alignment horizontal="left" vertical="center" shrinkToFit="1"/>
    </xf>
    <xf numFmtId="176" fontId="4" fillId="0" borderId="1" xfId="2" applyNumberFormat="1" applyFont="1" applyBorder="1" applyAlignment="1">
      <alignment horizontal="center" vertical="center" shrinkToFit="1"/>
    </xf>
    <xf numFmtId="0" fontId="3" fillId="0" borderId="1" xfId="2" applyBorder="1" applyAlignment="1">
      <alignment horizontal="center" vertical="center" textRotation="255"/>
    </xf>
    <xf numFmtId="0" fontId="10" fillId="0" borderId="3" xfId="2" applyFont="1" applyBorder="1" applyAlignment="1">
      <alignment horizontal="left" vertical="center" wrapText="1"/>
    </xf>
    <xf numFmtId="0" fontId="3" fillId="0" borderId="5" xfId="2" applyBorder="1" applyAlignment="1">
      <alignment horizontal="left" vertical="center" wrapText="1"/>
    </xf>
    <xf numFmtId="0" fontId="3" fillId="0" borderId="6" xfId="2" applyBorder="1" applyAlignment="1">
      <alignment horizontal="left" vertical="center" wrapText="1"/>
    </xf>
    <xf numFmtId="0" fontId="3" fillId="0" borderId="8" xfId="2" applyBorder="1" applyAlignment="1">
      <alignment horizontal="left" vertical="center" wrapText="1"/>
    </xf>
    <xf numFmtId="0" fontId="3" fillId="0" borderId="7" xfId="2" applyBorder="1" applyAlignment="1">
      <alignment horizontal="left" vertical="center" wrapText="1"/>
    </xf>
    <xf numFmtId="0" fontId="3" fillId="0" borderId="4" xfId="2" applyBorder="1" applyAlignment="1">
      <alignment horizontal="left" vertical="center" wrapText="1"/>
    </xf>
    <xf numFmtId="0" fontId="3" fillId="0" borderId="0" xfId="2" applyAlignment="1">
      <alignment horizontal="left" vertical="center" wrapText="1"/>
    </xf>
    <xf numFmtId="0" fontId="3" fillId="0" borderId="9" xfId="2" applyBorder="1" applyAlignment="1">
      <alignment horizontal="left" vertical="center" wrapText="1"/>
    </xf>
    <xf numFmtId="0" fontId="3" fillId="0" borderId="2" xfId="2" applyBorder="1" applyAlignment="1">
      <alignment horizontal="left" vertical="center" wrapText="1"/>
    </xf>
    <xf numFmtId="0" fontId="3" fillId="0" borderId="3" xfId="2" applyBorder="1" applyAlignment="1">
      <alignment horizontal="center" vertical="center" textRotation="255" wrapText="1"/>
    </xf>
    <xf numFmtId="0" fontId="3" fillId="0" borderId="5" xfId="2" applyBorder="1" applyAlignment="1">
      <alignment horizontal="center" vertical="center" textRotation="255" wrapText="1"/>
    </xf>
    <xf numFmtId="0" fontId="3" fillId="0" borderId="6" xfId="2" applyBorder="1" applyAlignment="1">
      <alignment horizontal="center" vertical="center" textRotation="255" wrapText="1"/>
    </xf>
    <xf numFmtId="0" fontId="3" fillId="0" borderId="3" xfId="2" applyBorder="1" applyAlignment="1">
      <alignment horizontal="left" vertical="center" wrapText="1"/>
    </xf>
    <xf numFmtId="0" fontId="3" fillId="0" borderId="5" xfId="2" applyBorder="1" applyAlignment="1">
      <alignment horizontal="left" vertical="center"/>
    </xf>
    <xf numFmtId="0" fontId="3" fillId="0" borderId="6" xfId="2" applyBorder="1" applyAlignment="1">
      <alignment horizontal="left" vertical="center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2E052"/>
      <color rgb="FFE5EA04"/>
      <color rgb="FFF8FC46"/>
      <color rgb="FF00F20C"/>
      <color rgb="FFFF5D5D"/>
      <color rgb="FFFC9C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T39"/>
  <sheetViews>
    <sheetView tabSelected="1" view="pageBreakPreview" zoomScale="85" zoomScaleNormal="70" zoomScaleSheetLayoutView="85" zoomScalePageLayoutView="85" workbookViewId="0">
      <selection activeCell="B3" sqref="B3"/>
    </sheetView>
  </sheetViews>
  <sheetFormatPr defaultRowHeight="24" x14ac:dyDescent="0.4"/>
  <cols>
    <col min="1" max="1" width="9" style="44"/>
    <col min="2" max="3" width="15.875" style="25" customWidth="1"/>
    <col min="4" max="8" width="18.875" style="25" customWidth="1"/>
    <col min="9" max="10" width="10" style="44" hidden="1" customWidth="1"/>
    <col min="11" max="12" width="9" style="44" hidden="1" customWidth="1"/>
    <col min="13" max="13" width="16.125" style="44" hidden="1" customWidth="1"/>
    <col min="14" max="20" width="9" style="44" hidden="1" customWidth="1"/>
    <col min="21" max="16384" width="9" style="44"/>
  </cols>
  <sheetData>
    <row r="1" spans="1:20" s="25" customFormat="1" ht="34.5" customHeight="1" x14ac:dyDescent="0.4">
      <c r="A1" s="59" t="s">
        <v>59</v>
      </c>
      <c r="B1" s="59"/>
      <c r="C1" s="59"/>
      <c r="D1" s="59"/>
      <c r="E1" s="59"/>
      <c r="F1" s="59"/>
      <c r="G1" s="59"/>
      <c r="H1" s="59"/>
      <c r="K1" s="28"/>
      <c r="L1" s="29"/>
      <c r="M1" s="29"/>
      <c r="N1" s="29"/>
      <c r="O1" s="29"/>
      <c r="P1" s="29"/>
      <c r="Q1" s="29"/>
      <c r="R1" s="29"/>
      <c r="S1" s="29"/>
      <c r="T1" s="29"/>
    </row>
    <row r="2" spans="1:20" s="25" customFormat="1" ht="40.5" customHeight="1" x14ac:dyDescent="0.4">
      <c r="A2" s="23" t="s">
        <v>55</v>
      </c>
      <c r="B2" s="46" t="s">
        <v>60</v>
      </c>
      <c r="C2" s="23" t="s">
        <v>61</v>
      </c>
      <c r="D2" s="23" t="s">
        <v>62</v>
      </c>
      <c r="E2" s="23" t="s">
        <v>63</v>
      </c>
      <c r="F2" s="23" t="s">
        <v>64</v>
      </c>
      <c r="G2" s="23" t="s">
        <v>65</v>
      </c>
      <c r="H2" s="23" t="s">
        <v>3</v>
      </c>
      <c r="I2" s="32"/>
      <c r="J2" s="33" t="s">
        <v>74</v>
      </c>
      <c r="K2" s="31" t="s">
        <v>45</v>
      </c>
      <c r="L2" s="34" t="s">
        <v>0</v>
      </c>
      <c r="M2" s="35"/>
      <c r="N2" s="34" t="s">
        <v>1</v>
      </c>
      <c r="O2" s="35"/>
      <c r="P2" s="34" t="s">
        <v>40</v>
      </c>
      <c r="Q2" s="35"/>
      <c r="R2" s="35"/>
      <c r="S2" s="35"/>
      <c r="T2" s="36" t="s">
        <v>2</v>
      </c>
    </row>
    <row r="3" spans="1:20" s="25" customFormat="1" ht="18" customHeight="1" x14ac:dyDescent="0.4">
      <c r="A3" s="30">
        <v>1</v>
      </c>
      <c r="B3" s="47"/>
      <c r="C3" s="39" t="str">
        <f t="shared" ref="C3:C13" si="0">IF(B3="","",DATEDIF(B3,$J$18,"Y"))</f>
        <v/>
      </c>
      <c r="D3" s="48"/>
      <c r="E3" s="49"/>
      <c r="F3" s="49"/>
      <c r="G3" s="49"/>
      <c r="H3" s="39"/>
      <c r="I3" s="35" t="str">
        <f t="shared" ref="I3:I13" si="1">IF(B3="","",DATEDIF(B3,$J$19,"Y"))</f>
        <v/>
      </c>
      <c r="J3" s="35" t="str">
        <f>IF(I3="","",VLOOKUP(I3,$I$31:$J$39,2,FALSE))</f>
        <v/>
      </c>
      <c r="K3" s="35" t="s">
        <v>4</v>
      </c>
      <c r="L3" s="37">
        <f>COUNTIF(C3:C13, "&gt;=0") - COUNTIF(C3:C13, "&gt;2")</f>
        <v>0</v>
      </c>
      <c r="M3" s="38" t="str">
        <f>IF(L3=0,"",VLOOKUP(L3,参照先!B2:D7,3,FALSE))</f>
        <v/>
      </c>
      <c r="N3" s="31">
        <f>L14</f>
        <v>0</v>
      </c>
      <c r="O3" s="36" t="s">
        <v>41</v>
      </c>
      <c r="P3" s="31" cm="1">
        <f t="array" ref="P3">SUM(COUNTIF(J3:J13,{"小学1年","小学2年","小学3年","小学4年","小学5年","小学6年"}))</f>
        <v>0</v>
      </c>
      <c r="Q3" s="36" t="s">
        <v>42</v>
      </c>
      <c r="R3" s="31">
        <f>SUM(COUNTIF(J3:J13,{"中学1年","中学2年","中学3年"}))</f>
        <v>0</v>
      </c>
      <c r="S3" s="36" t="s">
        <v>43</v>
      </c>
      <c r="T3" s="36" t="s">
        <v>44</v>
      </c>
    </row>
    <row r="4" spans="1:20" s="25" customFormat="1" ht="18" customHeight="1" x14ac:dyDescent="0.4">
      <c r="A4" s="30">
        <v>2</v>
      </c>
      <c r="B4" s="47"/>
      <c r="C4" s="39" t="str">
        <f t="shared" si="0"/>
        <v/>
      </c>
      <c r="D4" s="48"/>
      <c r="E4" s="49"/>
      <c r="F4" s="49"/>
      <c r="G4" s="49"/>
      <c r="H4" s="39"/>
      <c r="I4" s="35" t="str">
        <f t="shared" si="1"/>
        <v/>
      </c>
      <c r="J4" s="35" t="str">
        <f t="shared" ref="J4:J13" si="2">IF(I4="","",VLOOKUP(I4,$I$31:$J$39,2,FALSE))</f>
        <v/>
      </c>
      <c r="K4" s="35" t="s">
        <v>14</v>
      </c>
      <c r="L4" s="37">
        <f>COUNTIF(C3:C13, "&gt;=3") - COUNTIF(C3:C13, "&gt;5")</f>
        <v>0</v>
      </c>
      <c r="M4" s="38" t="str">
        <f>IF(L4=0,"",VLOOKUP(L4,参照先!B8:D13,3,FALSE))</f>
        <v/>
      </c>
      <c r="N4" s="31"/>
      <c r="O4" s="36"/>
      <c r="P4" s="31"/>
      <c r="Q4" s="36"/>
      <c r="R4" s="31"/>
      <c r="S4" s="36"/>
      <c r="T4" s="36"/>
    </row>
    <row r="5" spans="1:20" s="25" customFormat="1" ht="18" customHeight="1" x14ac:dyDescent="0.4">
      <c r="A5" s="30">
        <v>3</v>
      </c>
      <c r="B5" s="47"/>
      <c r="C5" s="39" t="str">
        <f t="shared" si="0"/>
        <v/>
      </c>
      <c r="D5" s="48"/>
      <c r="E5" s="49"/>
      <c r="F5" s="49"/>
      <c r="G5" s="49"/>
      <c r="H5" s="39"/>
      <c r="I5" s="35" t="str">
        <f t="shared" si="1"/>
        <v/>
      </c>
      <c r="J5" s="35" t="str">
        <f t="shared" si="2"/>
        <v/>
      </c>
      <c r="K5" s="35" t="s">
        <v>5</v>
      </c>
      <c r="L5" s="37">
        <f>COUNTIF(C3:C13, "&gt;=6") - COUNTIF(C3:C13, "&gt;11")</f>
        <v>0</v>
      </c>
      <c r="M5" s="38" t="str">
        <f>IF(L5=0,"",VLOOKUP(L5,参照先!B14:D19,3,FALSE))</f>
        <v/>
      </c>
      <c r="N5" s="31"/>
      <c r="O5" s="36"/>
      <c r="P5" s="31"/>
      <c r="Q5" s="36"/>
      <c r="R5" s="31"/>
      <c r="S5" s="36"/>
      <c r="T5" s="36"/>
    </row>
    <row r="6" spans="1:20" s="25" customFormat="1" ht="18" customHeight="1" x14ac:dyDescent="0.4">
      <c r="A6" s="30">
        <v>4</v>
      </c>
      <c r="B6" s="47"/>
      <c r="C6" s="39" t="str">
        <f t="shared" si="0"/>
        <v/>
      </c>
      <c r="D6" s="48"/>
      <c r="E6" s="49"/>
      <c r="F6" s="49"/>
      <c r="G6" s="49"/>
      <c r="H6" s="39"/>
      <c r="I6" s="35" t="str">
        <f t="shared" si="1"/>
        <v/>
      </c>
      <c r="J6" s="35" t="str">
        <f t="shared" si="2"/>
        <v/>
      </c>
      <c r="K6" s="35" t="s">
        <v>68</v>
      </c>
      <c r="L6" s="37">
        <f>COUNTIF(C3:C13, "&gt;=12") - COUNTIF(C3:C13, "&gt;17")</f>
        <v>0</v>
      </c>
      <c r="M6" s="38" t="str">
        <f>IF(L6=0,"",VLOOKUP(L6,参照先!B20:D25,3,FALSE))</f>
        <v/>
      </c>
      <c r="N6" s="31"/>
      <c r="O6" s="36"/>
      <c r="P6" s="31"/>
      <c r="Q6" s="36"/>
      <c r="R6" s="31"/>
      <c r="S6" s="36"/>
      <c r="T6" s="36"/>
    </row>
    <row r="7" spans="1:20" s="25" customFormat="1" ht="18" customHeight="1" x14ac:dyDescent="0.4">
      <c r="A7" s="30">
        <v>5</v>
      </c>
      <c r="B7" s="47"/>
      <c r="C7" s="39" t="str">
        <f t="shared" si="0"/>
        <v/>
      </c>
      <c r="D7" s="48"/>
      <c r="E7" s="49"/>
      <c r="F7" s="49"/>
      <c r="G7" s="49"/>
      <c r="H7" s="39"/>
      <c r="I7" s="35" t="str">
        <f t="shared" si="1"/>
        <v/>
      </c>
      <c r="J7" s="35" t="str">
        <f t="shared" si="2"/>
        <v/>
      </c>
      <c r="K7" s="35" t="s">
        <v>69</v>
      </c>
      <c r="L7" s="37">
        <f>COUNTIF(C4:C14, "&gt;=18") - COUNTIF(C4:C14, "&gt;19")</f>
        <v>0</v>
      </c>
      <c r="M7" s="38" t="str">
        <f>IF(L7=0,"",VLOOKUP(L7,参照先!B26:D31,3,FALSE))</f>
        <v/>
      </c>
      <c r="N7" s="31"/>
      <c r="O7" s="36"/>
      <c r="P7" s="31"/>
      <c r="Q7" s="36"/>
      <c r="R7" s="31"/>
      <c r="S7" s="36"/>
      <c r="T7" s="36"/>
    </row>
    <row r="8" spans="1:20" s="25" customFormat="1" ht="18" customHeight="1" x14ac:dyDescent="0.4">
      <c r="A8" s="30">
        <v>6</v>
      </c>
      <c r="B8" s="47"/>
      <c r="C8" s="39" t="str">
        <f t="shared" si="0"/>
        <v/>
      </c>
      <c r="D8" s="48"/>
      <c r="E8" s="49"/>
      <c r="F8" s="49"/>
      <c r="G8" s="49"/>
      <c r="H8" s="39"/>
      <c r="I8" s="35" t="str">
        <f t="shared" si="1"/>
        <v/>
      </c>
      <c r="J8" s="35" t="str">
        <f t="shared" si="2"/>
        <v/>
      </c>
      <c r="K8" s="35" t="s">
        <v>6</v>
      </c>
      <c r="L8" s="37">
        <f>COUNTIF(C3:C13, "&gt;=20") - COUNTIF(C3:C13, "&gt;40")</f>
        <v>0</v>
      </c>
      <c r="M8" s="38" t="str">
        <f>IF(L8=0,"",VLOOKUP(L8,参照先!B32:D37,3,FALSE))</f>
        <v/>
      </c>
      <c r="N8" s="31"/>
      <c r="O8" s="36"/>
      <c r="P8" s="31"/>
      <c r="Q8" s="36"/>
      <c r="R8" s="31"/>
      <c r="S8" s="36"/>
      <c r="T8" s="36"/>
    </row>
    <row r="9" spans="1:20" s="25" customFormat="1" ht="18" customHeight="1" x14ac:dyDescent="0.4">
      <c r="A9" s="30">
        <v>7</v>
      </c>
      <c r="B9" s="47"/>
      <c r="C9" s="39" t="str">
        <f t="shared" si="0"/>
        <v/>
      </c>
      <c r="D9" s="48"/>
      <c r="E9" s="49"/>
      <c r="F9" s="49"/>
      <c r="G9" s="49"/>
      <c r="H9" s="39"/>
      <c r="I9" s="35" t="str">
        <f t="shared" si="1"/>
        <v/>
      </c>
      <c r="J9" s="35" t="str">
        <f t="shared" si="2"/>
        <v/>
      </c>
      <c r="K9" s="35" t="s">
        <v>15</v>
      </c>
      <c r="L9" s="37">
        <f>COUNTIF(C3:C13, "&gt;=41") - COUNTIF(C3:C13, "&gt;59")</f>
        <v>0</v>
      </c>
      <c r="M9" s="38" t="str">
        <f>IF(L9=0,"",VLOOKUP(L9,参照先!B38:D43,3,FALSE))</f>
        <v/>
      </c>
      <c r="N9" s="31"/>
      <c r="O9" s="36"/>
      <c r="P9" s="31"/>
      <c r="Q9" s="36"/>
      <c r="R9" s="31"/>
      <c r="S9" s="36"/>
      <c r="T9" s="36"/>
    </row>
    <row r="10" spans="1:20" s="25" customFormat="1" ht="18" customHeight="1" x14ac:dyDescent="0.4">
      <c r="A10" s="30">
        <v>8</v>
      </c>
      <c r="B10" s="47"/>
      <c r="C10" s="39" t="str">
        <f t="shared" si="0"/>
        <v/>
      </c>
      <c r="D10" s="48"/>
      <c r="E10" s="49"/>
      <c r="F10" s="49"/>
      <c r="G10" s="49"/>
      <c r="H10" s="39"/>
      <c r="I10" s="35" t="str">
        <f t="shared" si="1"/>
        <v/>
      </c>
      <c r="J10" s="35" t="str">
        <f t="shared" si="2"/>
        <v/>
      </c>
      <c r="K10" s="35" t="s">
        <v>70</v>
      </c>
      <c r="L10" s="37">
        <f>COUNTIF(C3:C13, "&gt;=60") - COUNTIF(C3:C13, "&gt;64")</f>
        <v>0</v>
      </c>
      <c r="M10" s="38" t="str">
        <f>IF(L10=0,"",VLOOKUP(L10,参照先!B44:D49,3,FALSE))</f>
        <v/>
      </c>
      <c r="N10" s="31"/>
      <c r="O10" s="36"/>
      <c r="P10" s="31"/>
      <c r="Q10" s="36"/>
      <c r="R10" s="31"/>
      <c r="S10" s="36"/>
      <c r="T10" s="36"/>
    </row>
    <row r="11" spans="1:20" s="25" customFormat="1" ht="18" customHeight="1" x14ac:dyDescent="0.4">
      <c r="A11" s="30">
        <v>9</v>
      </c>
      <c r="B11" s="47"/>
      <c r="C11" s="39" t="str">
        <f t="shared" si="0"/>
        <v/>
      </c>
      <c r="D11" s="48"/>
      <c r="E11" s="49"/>
      <c r="F11" s="49"/>
      <c r="G11" s="49"/>
      <c r="H11" s="39"/>
      <c r="I11" s="35" t="str">
        <f t="shared" si="1"/>
        <v/>
      </c>
      <c r="J11" s="35" t="str">
        <f t="shared" si="2"/>
        <v/>
      </c>
      <c r="K11" s="35" t="s">
        <v>71</v>
      </c>
      <c r="L11" s="37">
        <f>COUNTIF(C4:C14, "&gt;=65") - COUNTIF(C4:C14, "&gt;69")</f>
        <v>0</v>
      </c>
      <c r="M11" s="38" t="str">
        <f>IF(L11=0,"",VLOOKUP(L11,参照先!B50:D55,3,FALSE))</f>
        <v/>
      </c>
      <c r="N11" s="31"/>
      <c r="O11" s="36"/>
      <c r="P11" s="31"/>
      <c r="Q11" s="36"/>
      <c r="R11" s="31"/>
      <c r="S11" s="36"/>
      <c r="T11" s="36"/>
    </row>
    <row r="12" spans="1:20" s="25" customFormat="1" ht="18" customHeight="1" x14ac:dyDescent="0.4">
      <c r="A12" s="30">
        <v>10</v>
      </c>
      <c r="B12" s="47"/>
      <c r="C12" s="39" t="str">
        <f t="shared" si="0"/>
        <v/>
      </c>
      <c r="D12" s="48"/>
      <c r="E12" s="49"/>
      <c r="F12" s="49"/>
      <c r="G12" s="49"/>
      <c r="H12" s="39"/>
      <c r="I12" s="35" t="str">
        <f t="shared" si="1"/>
        <v/>
      </c>
      <c r="J12" s="35" t="str">
        <f t="shared" si="2"/>
        <v/>
      </c>
      <c r="K12" s="35" t="s">
        <v>72</v>
      </c>
      <c r="L12" s="37">
        <f>COUNTIF(C5:C15, "&gt;=70") - COUNTIF(C5:C15, "&gt;74")</f>
        <v>0</v>
      </c>
      <c r="M12" s="38" t="str">
        <f>IF(L12=0,"",VLOOKUP(L12,参照先!B56:D61,3,FALSE))</f>
        <v/>
      </c>
      <c r="N12" s="31"/>
      <c r="O12" s="36"/>
      <c r="P12" s="31"/>
      <c r="Q12" s="36"/>
      <c r="R12" s="31"/>
      <c r="S12" s="36"/>
      <c r="T12" s="36"/>
    </row>
    <row r="13" spans="1:20" s="25" customFormat="1" ht="18" customHeight="1" x14ac:dyDescent="0.4">
      <c r="A13" s="30">
        <v>11</v>
      </c>
      <c r="B13" s="47"/>
      <c r="C13" s="39" t="str">
        <f t="shared" si="0"/>
        <v/>
      </c>
      <c r="D13" s="48"/>
      <c r="E13" s="49"/>
      <c r="F13" s="49"/>
      <c r="G13" s="49"/>
      <c r="H13" s="39"/>
      <c r="I13" s="35" t="str">
        <f t="shared" si="1"/>
        <v/>
      </c>
      <c r="J13" s="35" t="str">
        <f t="shared" si="2"/>
        <v/>
      </c>
      <c r="K13" s="35" t="s">
        <v>73</v>
      </c>
      <c r="L13" s="37">
        <f>COUNTIF(C3:C13, "&gt;=75")</f>
        <v>0</v>
      </c>
      <c r="M13" s="38" t="str">
        <f>IF(L13=0,"",VLOOKUP(L13,参照先!B62:D67,3,FALSE))</f>
        <v/>
      </c>
      <c r="N13" s="31"/>
      <c r="O13" s="36"/>
      <c r="P13" s="31"/>
      <c r="Q13" s="36"/>
      <c r="R13" s="31"/>
      <c r="S13" s="36"/>
      <c r="T13" s="36"/>
    </row>
    <row r="14" spans="1:20" s="25" customFormat="1" ht="23.25" customHeight="1" x14ac:dyDescent="0.4">
      <c r="A14" s="31"/>
      <c r="B14" s="39"/>
      <c r="C14" s="39">
        <f>COUNTA(B3:B13)</f>
        <v>0</v>
      </c>
      <c r="D14" s="39">
        <f>SUM(D3:D13)</f>
        <v>0</v>
      </c>
      <c r="E14" s="39">
        <f>SUM(E3:E13)</f>
        <v>0</v>
      </c>
      <c r="F14" s="39">
        <f>SUM(F3:F13)</f>
        <v>0</v>
      </c>
      <c r="G14" s="39">
        <f>SUM(G3:G13)</f>
        <v>0</v>
      </c>
      <c r="H14" s="50">
        <f>D14-E14-F14-G14</f>
        <v>0</v>
      </c>
      <c r="I14" s="35"/>
      <c r="J14" s="35"/>
      <c r="K14" s="35" t="s">
        <v>7</v>
      </c>
      <c r="L14" s="31">
        <f>SUM(L3:L13)</f>
        <v>0</v>
      </c>
      <c r="M14" s="39">
        <f>SUM(M3:M13)</f>
        <v>0</v>
      </c>
      <c r="N14" s="37"/>
      <c r="O14" s="39">
        <f>IF(N3=0,0,VLOOKUP(N3,参照先!B68:D77,3,FALSE))</f>
        <v>0</v>
      </c>
      <c r="P14" s="37"/>
      <c r="Q14" s="39">
        <f>IF(P3=0,0,VLOOKUP(P3,参照先!B98:D102,3,FALSE))</f>
        <v>0</v>
      </c>
      <c r="R14" s="37"/>
      <c r="S14" s="39">
        <f>IF(R3=0,0,VLOOKUP(R3,参照先!B103:D107,3,FALSE))</f>
        <v>0</v>
      </c>
      <c r="T14" s="39">
        <v>13000</v>
      </c>
    </row>
    <row r="15" spans="1:20" s="25" customFormat="1" ht="6.75" customHeight="1" x14ac:dyDescent="0.4">
      <c r="M15" s="40"/>
      <c r="N15" s="34" t="s">
        <v>8</v>
      </c>
      <c r="O15" s="24">
        <f>O14*12*1.3</f>
        <v>0</v>
      </c>
      <c r="P15" s="39" t="s">
        <v>9</v>
      </c>
      <c r="Q15" s="24">
        <f>Q14*1.3</f>
        <v>0</v>
      </c>
      <c r="R15" s="39" t="s">
        <v>9</v>
      </c>
      <c r="S15" s="24">
        <f>S14*1.3</f>
        <v>0</v>
      </c>
      <c r="T15" s="24">
        <f>T14*12*1.3</f>
        <v>202800</v>
      </c>
    </row>
    <row r="16" spans="1:20" s="25" customFormat="1" ht="42" customHeight="1" x14ac:dyDescent="0.4">
      <c r="A16" s="60" t="s">
        <v>66</v>
      </c>
      <c r="B16" s="60"/>
      <c r="C16" s="60"/>
      <c r="D16" s="45">
        <f>ROUNDUP(SUM(M17+O15+Q15+S15+T15),-1)</f>
        <v>202800</v>
      </c>
      <c r="E16" s="62" t="s">
        <v>67</v>
      </c>
      <c r="F16" s="63"/>
      <c r="G16" s="63"/>
      <c r="H16" s="63"/>
      <c r="I16" s="26"/>
      <c r="J16" s="26"/>
      <c r="K16" s="26"/>
      <c r="L16" s="26"/>
      <c r="M16" s="42">
        <f>IF(L14=1,M14*1,IF(L14=2,M14*0.87,IF(L14=3,M14*0.75,IF(L14=4,M14*0.66,IF(L14=5,M14*0.59,IF(L14=6,M14*0.58,IF(L14=7,M14*0.55,IF(L14=8,M14*0.52,M14*0.5))))))))</f>
        <v>0</v>
      </c>
      <c r="O16" s="40" t="s">
        <v>10</v>
      </c>
      <c r="Q16" s="40" t="s">
        <v>11</v>
      </c>
      <c r="S16" s="40" t="s">
        <v>12</v>
      </c>
      <c r="T16" s="40" t="s">
        <v>13</v>
      </c>
    </row>
    <row r="17" spans="1:20" s="25" customFormat="1" ht="42" customHeight="1" x14ac:dyDescent="0.4">
      <c r="A17" s="60" t="s">
        <v>56</v>
      </c>
      <c r="B17" s="60"/>
      <c r="C17" s="60"/>
      <c r="D17" s="45">
        <f>H14</f>
        <v>0</v>
      </c>
      <c r="E17" s="64"/>
      <c r="F17" s="63"/>
      <c r="G17" s="63"/>
      <c r="H17" s="63"/>
      <c r="I17" s="26"/>
      <c r="J17" s="26"/>
      <c r="K17" s="26"/>
      <c r="L17" s="26"/>
      <c r="M17" s="39">
        <f>ROUNDDOWN(M16,0)</f>
        <v>0</v>
      </c>
      <c r="N17" s="26"/>
      <c r="O17" s="26"/>
      <c r="Q17" s="57"/>
      <c r="R17" s="57"/>
    </row>
    <row r="18" spans="1:20" s="25" customFormat="1" ht="42" customHeight="1" x14ac:dyDescent="0.4">
      <c r="A18" s="60" t="s">
        <v>57</v>
      </c>
      <c r="B18" s="60"/>
      <c r="C18" s="60"/>
      <c r="D18" s="45" t="str">
        <f>IF(D19="却下",(D17-D16),"")</f>
        <v/>
      </c>
      <c r="E18" s="64"/>
      <c r="F18" s="63"/>
      <c r="G18" s="63"/>
      <c r="H18" s="63"/>
      <c r="I18" s="26">
        <f ca="1">IF(MONTH(TODAY())&lt;=3, YEAR(TODAY())-2, YEAR(TODAY())-1)</f>
        <v>2024</v>
      </c>
      <c r="J18" s="27" t="str">
        <f ca="1">I18&amp;"/12/31"</f>
        <v>2024/12/31</v>
      </c>
      <c r="K18" s="41"/>
      <c r="L18" s="43"/>
      <c r="M18" s="40" t="s">
        <v>16</v>
      </c>
      <c r="N18" s="26"/>
      <c r="O18" s="26"/>
      <c r="Q18" s="58"/>
      <c r="R18" s="58"/>
    </row>
    <row r="19" spans="1:20" ht="42" customHeight="1" x14ac:dyDescent="0.4">
      <c r="A19" s="61" t="s">
        <v>58</v>
      </c>
      <c r="B19" s="61"/>
      <c r="C19" s="61"/>
      <c r="D19" s="51" t="str">
        <f>IF(D16&gt;=D17,"認定","却下")</f>
        <v>認定</v>
      </c>
      <c r="E19" s="64"/>
      <c r="F19" s="63"/>
      <c r="G19" s="63"/>
      <c r="H19" s="63"/>
      <c r="I19" s="26">
        <f ca="1">IF(MONTH(TODAY())&lt;=3, YEAR(TODAY())-2, YEAR(TODAY())-1)</f>
        <v>2024</v>
      </c>
      <c r="J19" s="27" t="str">
        <f ca="1">I19&amp;"/4/1"</f>
        <v>2024/4/1</v>
      </c>
      <c r="K19" s="25"/>
      <c r="L19" s="25"/>
      <c r="M19" s="40"/>
      <c r="N19" s="26"/>
      <c r="O19" s="26"/>
      <c r="Q19" s="58"/>
      <c r="R19" s="58"/>
      <c r="S19" s="25"/>
      <c r="T19" s="25"/>
    </row>
    <row r="31" spans="1:20" x14ac:dyDescent="0.4">
      <c r="I31" s="25">
        <v>6</v>
      </c>
      <c r="J31" s="25" t="s">
        <v>46</v>
      </c>
    </row>
    <row r="32" spans="1:20" x14ac:dyDescent="0.4">
      <c r="I32" s="25">
        <v>7</v>
      </c>
      <c r="J32" s="25" t="s">
        <v>47</v>
      </c>
    </row>
    <row r="33" spans="9:10" x14ac:dyDescent="0.4">
      <c r="I33" s="25">
        <v>8</v>
      </c>
      <c r="J33" s="25" t="s">
        <v>48</v>
      </c>
    </row>
    <row r="34" spans="9:10" x14ac:dyDescent="0.4">
      <c r="I34" s="25">
        <v>9</v>
      </c>
      <c r="J34" s="25" t="s">
        <v>49</v>
      </c>
    </row>
    <row r="35" spans="9:10" x14ac:dyDescent="0.4">
      <c r="I35" s="25">
        <v>10</v>
      </c>
      <c r="J35" s="25" t="s">
        <v>50</v>
      </c>
    </row>
    <row r="36" spans="9:10" x14ac:dyDescent="0.4">
      <c r="I36" s="25">
        <v>11</v>
      </c>
      <c r="J36" s="25" t="s">
        <v>51</v>
      </c>
    </row>
    <row r="37" spans="9:10" x14ac:dyDescent="0.4">
      <c r="I37" s="44">
        <v>12</v>
      </c>
      <c r="J37" s="44" t="s">
        <v>52</v>
      </c>
    </row>
    <row r="38" spans="9:10" x14ac:dyDescent="0.4">
      <c r="I38" s="44">
        <v>13</v>
      </c>
      <c r="J38" s="44" t="s">
        <v>53</v>
      </c>
    </row>
    <row r="39" spans="9:10" x14ac:dyDescent="0.4">
      <c r="I39" s="44">
        <v>14</v>
      </c>
      <c r="J39" s="44" t="s">
        <v>54</v>
      </c>
    </row>
  </sheetData>
  <sheetProtection sheet="1" selectLockedCells="1"/>
  <mergeCells count="6">
    <mergeCell ref="A1:H1"/>
    <mergeCell ref="A16:C16"/>
    <mergeCell ref="A17:C17"/>
    <mergeCell ref="A18:C18"/>
    <mergeCell ref="A19:C19"/>
    <mergeCell ref="E16:H19"/>
  </mergeCells>
  <phoneticPr fontId="1"/>
  <conditionalFormatting sqref="D19">
    <cfRule type="expression" dxfId="0" priority="3">
      <formula>D16&lt;D17</formula>
    </cfRule>
  </conditionalFormatting>
  <dataValidations count="1">
    <dataValidation imeMode="halfAlpha" allowBlank="1" showInputMessage="1" showErrorMessage="1" sqref="B3:B13 D3:G13" xr:uid="{00000000-0002-0000-0000-000000000000}"/>
  </dataValidations>
  <pageMargins left="0.7" right="0.7" top="1.0575000000000001" bottom="0.75" header="0.61499999999999999" footer="0.3"/>
  <pageSetup paperSize="9" scale="72" orientation="landscape" r:id="rId1"/>
  <headerFooter>
    <oddHeader>&amp;C&amp;16就学援助所得判定用計算表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J108"/>
  <sheetViews>
    <sheetView view="pageBreakPreview" topLeftCell="A58" zoomScaleNormal="100" zoomScaleSheetLayoutView="100" workbookViewId="0">
      <selection activeCell="G70" sqref="G70"/>
    </sheetView>
  </sheetViews>
  <sheetFormatPr defaultRowHeight="13.5" x14ac:dyDescent="0.15"/>
  <cols>
    <col min="1" max="1" width="9.125" style="4" customWidth="1"/>
    <col min="2" max="2" width="9.875" style="22" customWidth="1"/>
    <col min="3" max="3" width="19.25" style="4" customWidth="1"/>
    <col min="4" max="4" width="13.875" style="18" customWidth="1"/>
    <col min="5" max="5" width="43.5" style="4" customWidth="1"/>
    <col min="6" max="257" width="9" style="4"/>
    <col min="258" max="258" width="9.125" style="4" customWidth="1"/>
    <col min="259" max="259" width="9.875" style="4" customWidth="1"/>
    <col min="260" max="260" width="19.25" style="4" customWidth="1"/>
    <col min="261" max="261" width="13.875" style="4" customWidth="1"/>
    <col min="262" max="262" width="43.5" style="4" customWidth="1"/>
    <col min="263" max="513" width="9" style="4"/>
    <col min="514" max="514" width="9.125" style="4" customWidth="1"/>
    <col min="515" max="515" width="9.875" style="4" customWidth="1"/>
    <col min="516" max="516" width="19.25" style="4" customWidth="1"/>
    <col min="517" max="517" width="13.875" style="4" customWidth="1"/>
    <col min="518" max="518" width="43.5" style="4" customWidth="1"/>
    <col min="519" max="769" width="9" style="4"/>
    <col min="770" max="770" width="9.125" style="4" customWidth="1"/>
    <col min="771" max="771" width="9.875" style="4" customWidth="1"/>
    <col min="772" max="772" width="19.25" style="4" customWidth="1"/>
    <col min="773" max="773" width="13.875" style="4" customWidth="1"/>
    <col min="774" max="774" width="43.5" style="4" customWidth="1"/>
    <col min="775" max="1025" width="9" style="4"/>
    <col min="1026" max="1026" width="9.125" style="4" customWidth="1"/>
    <col min="1027" max="1027" width="9.875" style="4" customWidth="1"/>
    <col min="1028" max="1028" width="19.25" style="4" customWidth="1"/>
    <col min="1029" max="1029" width="13.875" style="4" customWidth="1"/>
    <col min="1030" max="1030" width="43.5" style="4" customWidth="1"/>
    <col min="1031" max="1281" width="9" style="4"/>
    <col min="1282" max="1282" width="9.125" style="4" customWidth="1"/>
    <col min="1283" max="1283" width="9.875" style="4" customWidth="1"/>
    <col min="1284" max="1284" width="19.25" style="4" customWidth="1"/>
    <col min="1285" max="1285" width="13.875" style="4" customWidth="1"/>
    <col min="1286" max="1286" width="43.5" style="4" customWidth="1"/>
    <col min="1287" max="1537" width="9" style="4"/>
    <col min="1538" max="1538" width="9.125" style="4" customWidth="1"/>
    <col min="1539" max="1539" width="9.875" style="4" customWidth="1"/>
    <col min="1540" max="1540" width="19.25" style="4" customWidth="1"/>
    <col min="1541" max="1541" width="13.875" style="4" customWidth="1"/>
    <col min="1542" max="1542" width="43.5" style="4" customWidth="1"/>
    <col min="1543" max="1793" width="9" style="4"/>
    <col min="1794" max="1794" width="9.125" style="4" customWidth="1"/>
    <col min="1795" max="1795" width="9.875" style="4" customWidth="1"/>
    <col min="1796" max="1796" width="19.25" style="4" customWidth="1"/>
    <col min="1797" max="1797" width="13.875" style="4" customWidth="1"/>
    <col min="1798" max="1798" width="43.5" style="4" customWidth="1"/>
    <col min="1799" max="2049" width="9" style="4"/>
    <col min="2050" max="2050" width="9.125" style="4" customWidth="1"/>
    <col min="2051" max="2051" width="9.875" style="4" customWidth="1"/>
    <col min="2052" max="2052" width="19.25" style="4" customWidth="1"/>
    <col min="2053" max="2053" width="13.875" style="4" customWidth="1"/>
    <col min="2054" max="2054" width="43.5" style="4" customWidth="1"/>
    <col min="2055" max="2305" width="9" style="4"/>
    <col min="2306" max="2306" width="9.125" style="4" customWidth="1"/>
    <col min="2307" max="2307" width="9.875" style="4" customWidth="1"/>
    <col min="2308" max="2308" width="19.25" style="4" customWidth="1"/>
    <col min="2309" max="2309" width="13.875" style="4" customWidth="1"/>
    <col min="2310" max="2310" width="43.5" style="4" customWidth="1"/>
    <col min="2311" max="2561" width="9" style="4"/>
    <col min="2562" max="2562" width="9.125" style="4" customWidth="1"/>
    <col min="2563" max="2563" width="9.875" style="4" customWidth="1"/>
    <col min="2564" max="2564" width="19.25" style="4" customWidth="1"/>
    <col min="2565" max="2565" width="13.875" style="4" customWidth="1"/>
    <col min="2566" max="2566" width="43.5" style="4" customWidth="1"/>
    <col min="2567" max="2817" width="9" style="4"/>
    <col min="2818" max="2818" width="9.125" style="4" customWidth="1"/>
    <col min="2819" max="2819" width="9.875" style="4" customWidth="1"/>
    <col min="2820" max="2820" width="19.25" style="4" customWidth="1"/>
    <col min="2821" max="2821" width="13.875" style="4" customWidth="1"/>
    <col min="2822" max="2822" width="43.5" style="4" customWidth="1"/>
    <col min="2823" max="3073" width="9" style="4"/>
    <col min="3074" max="3074" width="9.125" style="4" customWidth="1"/>
    <col min="3075" max="3075" width="9.875" style="4" customWidth="1"/>
    <col min="3076" max="3076" width="19.25" style="4" customWidth="1"/>
    <col min="3077" max="3077" width="13.875" style="4" customWidth="1"/>
    <col min="3078" max="3078" width="43.5" style="4" customWidth="1"/>
    <col min="3079" max="3329" width="9" style="4"/>
    <col min="3330" max="3330" width="9.125" style="4" customWidth="1"/>
    <col min="3331" max="3331" width="9.875" style="4" customWidth="1"/>
    <col min="3332" max="3332" width="19.25" style="4" customWidth="1"/>
    <col min="3333" max="3333" width="13.875" style="4" customWidth="1"/>
    <col min="3334" max="3334" width="43.5" style="4" customWidth="1"/>
    <col min="3335" max="3585" width="9" style="4"/>
    <col min="3586" max="3586" width="9.125" style="4" customWidth="1"/>
    <col min="3587" max="3587" width="9.875" style="4" customWidth="1"/>
    <col min="3588" max="3588" width="19.25" style="4" customWidth="1"/>
    <col min="3589" max="3589" width="13.875" style="4" customWidth="1"/>
    <col min="3590" max="3590" width="43.5" style="4" customWidth="1"/>
    <col min="3591" max="3841" width="9" style="4"/>
    <col min="3842" max="3842" width="9.125" style="4" customWidth="1"/>
    <col min="3843" max="3843" width="9.875" style="4" customWidth="1"/>
    <col min="3844" max="3844" width="19.25" style="4" customWidth="1"/>
    <col min="3845" max="3845" width="13.875" style="4" customWidth="1"/>
    <col min="3846" max="3846" width="43.5" style="4" customWidth="1"/>
    <col min="3847" max="4097" width="9" style="4"/>
    <col min="4098" max="4098" width="9.125" style="4" customWidth="1"/>
    <col min="4099" max="4099" width="9.875" style="4" customWidth="1"/>
    <col min="4100" max="4100" width="19.25" style="4" customWidth="1"/>
    <col min="4101" max="4101" width="13.875" style="4" customWidth="1"/>
    <col min="4102" max="4102" width="43.5" style="4" customWidth="1"/>
    <col min="4103" max="4353" width="9" style="4"/>
    <col min="4354" max="4354" width="9.125" style="4" customWidth="1"/>
    <col min="4355" max="4355" width="9.875" style="4" customWidth="1"/>
    <col min="4356" max="4356" width="19.25" style="4" customWidth="1"/>
    <col min="4357" max="4357" width="13.875" style="4" customWidth="1"/>
    <col min="4358" max="4358" width="43.5" style="4" customWidth="1"/>
    <col min="4359" max="4609" width="9" style="4"/>
    <col min="4610" max="4610" width="9.125" style="4" customWidth="1"/>
    <col min="4611" max="4611" width="9.875" style="4" customWidth="1"/>
    <col min="4612" max="4612" width="19.25" style="4" customWidth="1"/>
    <col min="4613" max="4613" width="13.875" style="4" customWidth="1"/>
    <col min="4614" max="4614" width="43.5" style="4" customWidth="1"/>
    <col min="4615" max="4865" width="9" style="4"/>
    <col min="4866" max="4866" width="9.125" style="4" customWidth="1"/>
    <col min="4867" max="4867" width="9.875" style="4" customWidth="1"/>
    <col min="4868" max="4868" width="19.25" style="4" customWidth="1"/>
    <col min="4869" max="4869" width="13.875" style="4" customWidth="1"/>
    <col min="4870" max="4870" width="43.5" style="4" customWidth="1"/>
    <col min="4871" max="5121" width="9" style="4"/>
    <col min="5122" max="5122" width="9.125" style="4" customWidth="1"/>
    <col min="5123" max="5123" width="9.875" style="4" customWidth="1"/>
    <col min="5124" max="5124" width="19.25" style="4" customWidth="1"/>
    <col min="5125" max="5125" width="13.875" style="4" customWidth="1"/>
    <col min="5126" max="5126" width="43.5" style="4" customWidth="1"/>
    <col min="5127" max="5377" width="9" style="4"/>
    <col min="5378" max="5378" width="9.125" style="4" customWidth="1"/>
    <col min="5379" max="5379" width="9.875" style="4" customWidth="1"/>
    <col min="5380" max="5380" width="19.25" style="4" customWidth="1"/>
    <col min="5381" max="5381" width="13.875" style="4" customWidth="1"/>
    <col min="5382" max="5382" width="43.5" style="4" customWidth="1"/>
    <col min="5383" max="5633" width="9" style="4"/>
    <col min="5634" max="5634" width="9.125" style="4" customWidth="1"/>
    <col min="5635" max="5635" width="9.875" style="4" customWidth="1"/>
    <col min="5636" max="5636" width="19.25" style="4" customWidth="1"/>
    <col min="5637" max="5637" width="13.875" style="4" customWidth="1"/>
    <col min="5638" max="5638" width="43.5" style="4" customWidth="1"/>
    <col min="5639" max="5889" width="9" style="4"/>
    <col min="5890" max="5890" width="9.125" style="4" customWidth="1"/>
    <col min="5891" max="5891" width="9.875" style="4" customWidth="1"/>
    <col min="5892" max="5892" width="19.25" style="4" customWidth="1"/>
    <col min="5893" max="5893" width="13.875" style="4" customWidth="1"/>
    <col min="5894" max="5894" width="43.5" style="4" customWidth="1"/>
    <col min="5895" max="6145" width="9" style="4"/>
    <col min="6146" max="6146" width="9.125" style="4" customWidth="1"/>
    <col min="6147" max="6147" width="9.875" style="4" customWidth="1"/>
    <col min="6148" max="6148" width="19.25" style="4" customWidth="1"/>
    <col min="6149" max="6149" width="13.875" style="4" customWidth="1"/>
    <col min="6150" max="6150" width="43.5" style="4" customWidth="1"/>
    <col min="6151" max="6401" width="9" style="4"/>
    <col min="6402" max="6402" width="9.125" style="4" customWidth="1"/>
    <col min="6403" max="6403" width="9.875" style="4" customWidth="1"/>
    <col min="6404" max="6404" width="19.25" style="4" customWidth="1"/>
    <col min="6405" max="6405" width="13.875" style="4" customWidth="1"/>
    <col min="6406" max="6406" width="43.5" style="4" customWidth="1"/>
    <col min="6407" max="6657" width="9" style="4"/>
    <col min="6658" max="6658" width="9.125" style="4" customWidth="1"/>
    <col min="6659" max="6659" width="9.875" style="4" customWidth="1"/>
    <col min="6660" max="6660" width="19.25" style="4" customWidth="1"/>
    <col min="6661" max="6661" width="13.875" style="4" customWidth="1"/>
    <col min="6662" max="6662" width="43.5" style="4" customWidth="1"/>
    <col min="6663" max="6913" width="9" style="4"/>
    <col min="6914" max="6914" width="9.125" style="4" customWidth="1"/>
    <col min="6915" max="6915" width="9.875" style="4" customWidth="1"/>
    <col min="6916" max="6916" width="19.25" style="4" customWidth="1"/>
    <col min="6917" max="6917" width="13.875" style="4" customWidth="1"/>
    <col min="6918" max="6918" width="43.5" style="4" customWidth="1"/>
    <col min="6919" max="7169" width="9" style="4"/>
    <col min="7170" max="7170" width="9.125" style="4" customWidth="1"/>
    <col min="7171" max="7171" width="9.875" style="4" customWidth="1"/>
    <col min="7172" max="7172" width="19.25" style="4" customWidth="1"/>
    <col min="7173" max="7173" width="13.875" style="4" customWidth="1"/>
    <col min="7174" max="7174" width="43.5" style="4" customWidth="1"/>
    <col min="7175" max="7425" width="9" style="4"/>
    <col min="7426" max="7426" width="9.125" style="4" customWidth="1"/>
    <col min="7427" max="7427" width="9.875" style="4" customWidth="1"/>
    <col min="7428" max="7428" width="19.25" style="4" customWidth="1"/>
    <col min="7429" max="7429" width="13.875" style="4" customWidth="1"/>
    <col min="7430" max="7430" width="43.5" style="4" customWidth="1"/>
    <col min="7431" max="7681" width="9" style="4"/>
    <col min="7682" max="7682" width="9.125" style="4" customWidth="1"/>
    <col min="7683" max="7683" width="9.875" style="4" customWidth="1"/>
    <col min="7684" max="7684" width="19.25" style="4" customWidth="1"/>
    <col min="7685" max="7685" width="13.875" style="4" customWidth="1"/>
    <col min="7686" max="7686" width="43.5" style="4" customWidth="1"/>
    <col min="7687" max="7937" width="9" style="4"/>
    <col min="7938" max="7938" width="9.125" style="4" customWidth="1"/>
    <col min="7939" max="7939" width="9.875" style="4" customWidth="1"/>
    <col min="7940" max="7940" width="19.25" style="4" customWidth="1"/>
    <col min="7941" max="7941" width="13.875" style="4" customWidth="1"/>
    <col min="7942" max="7942" width="43.5" style="4" customWidth="1"/>
    <col min="7943" max="8193" width="9" style="4"/>
    <col min="8194" max="8194" width="9.125" style="4" customWidth="1"/>
    <col min="8195" max="8195" width="9.875" style="4" customWidth="1"/>
    <col min="8196" max="8196" width="19.25" style="4" customWidth="1"/>
    <col min="8197" max="8197" width="13.875" style="4" customWidth="1"/>
    <col min="8198" max="8198" width="43.5" style="4" customWidth="1"/>
    <col min="8199" max="8449" width="9" style="4"/>
    <col min="8450" max="8450" width="9.125" style="4" customWidth="1"/>
    <col min="8451" max="8451" width="9.875" style="4" customWidth="1"/>
    <col min="8452" max="8452" width="19.25" style="4" customWidth="1"/>
    <col min="8453" max="8453" width="13.875" style="4" customWidth="1"/>
    <col min="8454" max="8454" width="43.5" style="4" customWidth="1"/>
    <col min="8455" max="8705" width="9" style="4"/>
    <col min="8706" max="8706" width="9.125" style="4" customWidth="1"/>
    <col min="8707" max="8707" width="9.875" style="4" customWidth="1"/>
    <col min="8708" max="8708" width="19.25" style="4" customWidth="1"/>
    <col min="8709" max="8709" width="13.875" style="4" customWidth="1"/>
    <col min="8710" max="8710" width="43.5" style="4" customWidth="1"/>
    <col min="8711" max="8961" width="9" style="4"/>
    <col min="8962" max="8962" width="9.125" style="4" customWidth="1"/>
    <col min="8963" max="8963" width="9.875" style="4" customWidth="1"/>
    <col min="8964" max="8964" width="19.25" style="4" customWidth="1"/>
    <col min="8965" max="8965" width="13.875" style="4" customWidth="1"/>
    <col min="8966" max="8966" width="43.5" style="4" customWidth="1"/>
    <col min="8967" max="9217" width="9" style="4"/>
    <col min="9218" max="9218" width="9.125" style="4" customWidth="1"/>
    <col min="9219" max="9219" width="9.875" style="4" customWidth="1"/>
    <col min="9220" max="9220" width="19.25" style="4" customWidth="1"/>
    <col min="9221" max="9221" width="13.875" style="4" customWidth="1"/>
    <col min="9222" max="9222" width="43.5" style="4" customWidth="1"/>
    <col min="9223" max="9473" width="9" style="4"/>
    <col min="9474" max="9474" width="9.125" style="4" customWidth="1"/>
    <col min="9475" max="9475" width="9.875" style="4" customWidth="1"/>
    <col min="9476" max="9476" width="19.25" style="4" customWidth="1"/>
    <col min="9477" max="9477" width="13.875" style="4" customWidth="1"/>
    <col min="9478" max="9478" width="43.5" style="4" customWidth="1"/>
    <col min="9479" max="9729" width="9" style="4"/>
    <col min="9730" max="9730" width="9.125" style="4" customWidth="1"/>
    <col min="9731" max="9731" width="9.875" style="4" customWidth="1"/>
    <col min="9732" max="9732" width="19.25" style="4" customWidth="1"/>
    <col min="9733" max="9733" width="13.875" style="4" customWidth="1"/>
    <col min="9734" max="9734" width="43.5" style="4" customWidth="1"/>
    <col min="9735" max="9985" width="9" style="4"/>
    <col min="9986" max="9986" width="9.125" style="4" customWidth="1"/>
    <col min="9987" max="9987" width="9.875" style="4" customWidth="1"/>
    <col min="9988" max="9988" width="19.25" style="4" customWidth="1"/>
    <col min="9989" max="9989" width="13.875" style="4" customWidth="1"/>
    <col min="9990" max="9990" width="43.5" style="4" customWidth="1"/>
    <col min="9991" max="10241" width="9" style="4"/>
    <col min="10242" max="10242" width="9.125" style="4" customWidth="1"/>
    <col min="10243" max="10243" width="9.875" style="4" customWidth="1"/>
    <col min="10244" max="10244" width="19.25" style="4" customWidth="1"/>
    <col min="10245" max="10245" width="13.875" style="4" customWidth="1"/>
    <col min="10246" max="10246" width="43.5" style="4" customWidth="1"/>
    <col min="10247" max="10497" width="9" style="4"/>
    <col min="10498" max="10498" width="9.125" style="4" customWidth="1"/>
    <col min="10499" max="10499" width="9.875" style="4" customWidth="1"/>
    <col min="10500" max="10500" width="19.25" style="4" customWidth="1"/>
    <col min="10501" max="10501" width="13.875" style="4" customWidth="1"/>
    <col min="10502" max="10502" width="43.5" style="4" customWidth="1"/>
    <col min="10503" max="10753" width="9" style="4"/>
    <col min="10754" max="10754" width="9.125" style="4" customWidth="1"/>
    <col min="10755" max="10755" width="9.875" style="4" customWidth="1"/>
    <col min="10756" max="10756" width="19.25" style="4" customWidth="1"/>
    <col min="10757" max="10757" width="13.875" style="4" customWidth="1"/>
    <col min="10758" max="10758" width="43.5" style="4" customWidth="1"/>
    <col min="10759" max="11009" width="9" style="4"/>
    <col min="11010" max="11010" width="9.125" style="4" customWidth="1"/>
    <col min="11011" max="11011" width="9.875" style="4" customWidth="1"/>
    <col min="11012" max="11012" width="19.25" style="4" customWidth="1"/>
    <col min="11013" max="11013" width="13.875" style="4" customWidth="1"/>
    <col min="11014" max="11014" width="43.5" style="4" customWidth="1"/>
    <col min="11015" max="11265" width="9" style="4"/>
    <col min="11266" max="11266" width="9.125" style="4" customWidth="1"/>
    <col min="11267" max="11267" width="9.875" style="4" customWidth="1"/>
    <col min="11268" max="11268" width="19.25" style="4" customWidth="1"/>
    <col min="11269" max="11269" width="13.875" style="4" customWidth="1"/>
    <col min="11270" max="11270" width="43.5" style="4" customWidth="1"/>
    <col min="11271" max="11521" width="9" style="4"/>
    <col min="11522" max="11522" width="9.125" style="4" customWidth="1"/>
    <col min="11523" max="11523" width="9.875" style="4" customWidth="1"/>
    <col min="11524" max="11524" width="19.25" style="4" customWidth="1"/>
    <col min="11525" max="11525" width="13.875" style="4" customWidth="1"/>
    <col min="11526" max="11526" width="43.5" style="4" customWidth="1"/>
    <col min="11527" max="11777" width="9" style="4"/>
    <col min="11778" max="11778" width="9.125" style="4" customWidth="1"/>
    <col min="11779" max="11779" width="9.875" style="4" customWidth="1"/>
    <col min="11780" max="11780" width="19.25" style="4" customWidth="1"/>
    <col min="11781" max="11781" width="13.875" style="4" customWidth="1"/>
    <col min="11782" max="11782" width="43.5" style="4" customWidth="1"/>
    <col min="11783" max="12033" width="9" style="4"/>
    <col min="12034" max="12034" width="9.125" style="4" customWidth="1"/>
    <col min="12035" max="12035" width="9.875" style="4" customWidth="1"/>
    <col min="12036" max="12036" width="19.25" style="4" customWidth="1"/>
    <col min="12037" max="12037" width="13.875" style="4" customWidth="1"/>
    <col min="12038" max="12038" width="43.5" style="4" customWidth="1"/>
    <col min="12039" max="12289" width="9" style="4"/>
    <col min="12290" max="12290" width="9.125" style="4" customWidth="1"/>
    <col min="12291" max="12291" width="9.875" style="4" customWidth="1"/>
    <col min="12292" max="12292" width="19.25" style="4" customWidth="1"/>
    <col min="12293" max="12293" width="13.875" style="4" customWidth="1"/>
    <col min="12294" max="12294" width="43.5" style="4" customWidth="1"/>
    <col min="12295" max="12545" width="9" style="4"/>
    <col min="12546" max="12546" width="9.125" style="4" customWidth="1"/>
    <col min="12547" max="12547" width="9.875" style="4" customWidth="1"/>
    <col min="12548" max="12548" width="19.25" style="4" customWidth="1"/>
    <col min="12549" max="12549" width="13.875" style="4" customWidth="1"/>
    <col min="12550" max="12550" width="43.5" style="4" customWidth="1"/>
    <col min="12551" max="12801" width="9" style="4"/>
    <col min="12802" max="12802" width="9.125" style="4" customWidth="1"/>
    <col min="12803" max="12803" width="9.875" style="4" customWidth="1"/>
    <col min="12804" max="12804" width="19.25" style="4" customWidth="1"/>
    <col min="12805" max="12805" width="13.875" style="4" customWidth="1"/>
    <col min="12806" max="12806" width="43.5" style="4" customWidth="1"/>
    <col min="12807" max="13057" width="9" style="4"/>
    <col min="13058" max="13058" width="9.125" style="4" customWidth="1"/>
    <col min="13059" max="13059" width="9.875" style="4" customWidth="1"/>
    <col min="13060" max="13060" width="19.25" style="4" customWidth="1"/>
    <col min="13061" max="13061" width="13.875" style="4" customWidth="1"/>
    <col min="13062" max="13062" width="43.5" style="4" customWidth="1"/>
    <col min="13063" max="13313" width="9" style="4"/>
    <col min="13314" max="13314" width="9.125" style="4" customWidth="1"/>
    <col min="13315" max="13315" width="9.875" style="4" customWidth="1"/>
    <col min="13316" max="13316" width="19.25" style="4" customWidth="1"/>
    <col min="13317" max="13317" width="13.875" style="4" customWidth="1"/>
    <col min="13318" max="13318" width="43.5" style="4" customWidth="1"/>
    <col min="13319" max="13569" width="9" style="4"/>
    <col min="13570" max="13570" width="9.125" style="4" customWidth="1"/>
    <col min="13571" max="13571" width="9.875" style="4" customWidth="1"/>
    <col min="13572" max="13572" width="19.25" style="4" customWidth="1"/>
    <col min="13573" max="13573" width="13.875" style="4" customWidth="1"/>
    <col min="13574" max="13574" width="43.5" style="4" customWidth="1"/>
    <col min="13575" max="13825" width="9" style="4"/>
    <col min="13826" max="13826" width="9.125" style="4" customWidth="1"/>
    <col min="13827" max="13827" width="9.875" style="4" customWidth="1"/>
    <col min="13828" max="13828" width="19.25" style="4" customWidth="1"/>
    <col min="13829" max="13829" width="13.875" style="4" customWidth="1"/>
    <col min="13830" max="13830" width="43.5" style="4" customWidth="1"/>
    <col min="13831" max="14081" width="9" style="4"/>
    <col min="14082" max="14082" width="9.125" style="4" customWidth="1"/>
    <col min="14083" max="14083" width="9.875" style="4" customWidth="1"/>
    <col min="14084" max="14084" width="19.25" style="4" customWidth="1"/>
    <col min="14085" max="14085" width="13.875" style="4" customWidth="1"/>
    <col min="14086" max="14086" width="43.5" style="4" customWidth="1"/>
    <col min="14087" max="14337" width="9" style="4"/>
    <col min="14338" max="14338" width="9.125" style="4" customWidth="1"/>
    <col min="14339" max="14339" width="9.875" style="4" customWidth="1"/>
    <col min="14340" max="14340" width="19.25" style="4" customWidth="1"/>
    <col min="14341" max="14341" width="13.875" style="4" customWidth="1"/>
    <col min="14342" max="14342" width="43.5" style="4" customWidth="1"/>
    <col min="14343" max="14593" width="9" style="4"/>
    <col min="14594" max="14594" width="9.125" style="4" customWidth="1"/>
    <col min="14595" max="14595" width="9.875" style="4" customWidth="1"/>
    <col min="14596" max="14596" width="19.25" style="4" customWidth="1"/>
    <col min="14597" max="14597" width="13.875" style="4" customWidth="1"/>
    <col min="14598" max="14598" width="43.5" style="4" customWidth="1"/>
    <col min="14599" max="14849" width="9" style="4"/>
    <col min="14850" max="14850" width="9.125" style="4" customWidth="1"/>
    <col min="14851" max="14851" width="9.875" style="4" customWidth="1"/>
    <col min="14852" max="14852" width="19.25" style="4" customWidth="1"/>
    <col min="14853" max="14853" width="13.875" style="4" customWidth="1"/>
    <col min="14854" max="14854" width="43.5" style="4" customWidth="1"/>
    <col min="14855" max="15105" width="9" style="4"/>
    <col min="15106" max="15106" width="9.125" style="4" customWidth="1"/>
    <col min="15107" max="15107" width="9.875" style="4" customWidth="1"/>
    <col min="15108" max="15108" width="19.25" style="4" customWidth="1"/>
    <col min="15109" max="15109" width="13.875" style="4" customWidth="1"/>
    <col min="15110" max="15110" width="43.5" style="4" customWidth="1"/>
    <col min="15111" max="15361" width="9" style="4"/>
    <col min="15362" max="15362" width="9.125" style="4" customWidth="1"/>
    <col min="15363" max="15363" width="9.875" style="4" customWidth="1"/>
    <col min="15364" max="15364" width="19.25" style="4" customWidth="1"/>
    <col min="15365" max="15365" width="13.875" style="4" customWidth="1"/>
    <col min="15366" max="15366" width="43.5" style="4" customWidth="1"/>
    <col min="15367" max="15617" width="9" style="4"/>
    <col min="15618" max="15618" width="9.125" style="4" customWidth="1"/>
    <col min="15619" max="15619" width="9.875" style="4" customWidth="1"/>
    <col min="15620" max="15620" width="19.25" style="4" customWidth="1"/>
    <col min="15621" max="15621" width="13.875" style="4" customWidth="1"/>
    <col min="15622" max="15622" width="43.5" style="4" customWidth="1"/>
    <col min="15623" max="15873" width="9" style="4"/>
    <col min="15874" max="15874" width="9.125" style="4" customWidth="1"/>
    <col min="15875" max="15875" width="9.875" style="4" customWidth="1"/>
    <col min="15876" max="15876" width="19.25" style="4" customWidth="1"/>
    <col min="15877" max="15877" width="13.875" style="4" customWidth="1"/>
    <col min="15878" max="15878" width="43.5" style="4" customWidth="1"/>
    <col min="15879" max="16129" width="9" style="4"/>
    <col min="16130" max="16130" width="9.125" style="4" customWidth="1"/>
    <col min="16131" max="16131" width="9.875" style="4" customWidth="1"/>
    <col min="16132" max="16132" width="19.25" style="4" customWidth="1"/>
    <col min="16133" max="16133" width="13.875" style="4" customWidth="1"/>
    <col min="16134" max="16134" width="43.5" style="4" customWidth="1"/>
    <col min="16135" max="16384" width="9" style="4"/>
  </cols>
  <sheetData>
    <row r="1" spans="1:5" ht="30.75" customHeight="1" x14ac:dyDescent="0.15">
      <c r="A1" s="1" t="s">
        <v>17</v>
      </c>
      <c r="B1" s="1" t="s">
        <v>18</v>
      </c>
      <c r="C1" s="1" t="s">
        <v>19</v>
      </c>
      <c r="D1" s="2" t="s">
        <v>20</v>
      </c>
      <c r="E1" s="3" t="s">
        <v>21</v>
      </c>
    </row>
    <row r="2" spans="1:5" ht="15" customHeight="1" x14ac:dyDescent="0.15">
      <c r="A2" s="76" t="s">
        <v>22</v>
      </c>
      <c r="B2" s="52">
        <v>1</v>
      </c>
      <c r="C2" s="65" t="s">
        <v>75</v>
      </c>
      <c r="D2" s="54">
        <v>674544</v>
      </c>
      <c r="E2" s="79" t="s">
        <v>89</v>
      </c>
    </row>
    <row r="3" spans="1:5" ht="15" customHeight="1" x14ac:dyDescent="0.15">
      <c r="A3" s="77"/>
      <c r="B3" s="53">
        <v>2</v>
      </c>
      <c r="C3" s="65"/>
      <c r="D3" s="55">
        <f>$D$2*2</f>
        <v>1349088</v>
      </c>
      <c r="E3" s="80"/>
    </row>
    <row r="4" spans="1:5" ht="15" customHeight="1" x14ac:dyDescent="0.15">
      <c r="A4" s="77"/>
      <c r="B4" s="52">
        <v>3</v>
      </c>
      <c r="C4" s="65"/>
      <c r="D4" s="55">
        <f>$D$2*3</f>
        <v>2023632</v>
      </c>
      <c r="E4" s="80"/>
    </row>
    <row r="5" spans="1:5" ht="15" customHeight="1" x14ac:dyDescent="0.15">
      <c r="A5" s="77"/>
      <c r="B5" s="53">
        <v>4</v>
      </c>
      <c r="C5" s="65"/>
      <c r="D5" s="55">
        <f>$D$2*4</f>
        <v>2698176</v>
      </c>
      <c r="E5" s="80"/>
    </row>
    <row r="6" spans="1:5" ht="15" customHeight="1" x14ac:dyDescent="0.15">
      <c r="A6" s="77"/>
      <c r="B6" s="52">
        <v>5</v>
      </c>
      <c r="C6" s="65"/>
      <c r="D6" s="55">
        <f>$D$2*5</f>
        <v>3372720</v>
      </c>
      <c r="E6" s="80"/>
    </row>
    <row r="7" spans="1:5" ht="15" customHeight="1" x14ac:dyDescent="0.15">
      <c r="A7" s="77"/>
      <c r="B7" s="53">
        <v>6</v>
      </c>
      <c r="C7" s="65"/>
      <c r="D7" s="55">
        <f>$D$2*6</f>
        <v>4047264</v>
      </c>
      <c r="E7" s="80"/>
    </row>
    <row r="8" spans="1:5" ht="15" customHeight="1" x14ac:dyDescent="0.15">
      <c r="A8" s="77"/>
      <c r="B8" s="52">
        <v>1</v>
      </c>
      <c r="C8" s="65" t="s">
        <v>76</v>
      </c>
      <c r="D8" s="54">
        <v>674544</v>
      </c>
      <c r="E8" s="80"/>
    </row>
    <row r="9" spans="1:5" ht="15" customHeight="1" x14ac:dyDescent="0.15">
      <c r="A9" s="77"/>
      <c r="B9" s="53">
        <v>2</v>
      </c>
      <c r="C9" s="65"/>
      <c r="D9" s="55">
        <f>$D$8*2</f>
        <v>1349088</v>
      </c>
      <c r="E9" s="80"/>
    </row>
    <row r="10" spans="1:5" ht="15" customHeight="1" x14ac:dyDescent="0.15">
      <c r="A10" s="77"/>
      <c r="B10" s="52">
        <v>3</v>
      </c>
      <c r="C10" s="65"/>
      <c r="D10" s="55">
        <f>$D$8*3</f>
        <v>2023632</v>
      </c>
      <c r="E10" s="80"/>
    </row>
    <row r="11" spans="1:5" ht="15" customHeight="1" x14ac:dyDescent="0.15">
      <c r="A11" s="77"/>
      <c r="B11" s="53">
        <v>4</v>
      </c>
      <c r="C11" s="65"/>
      <c r="D11" s="55">
        <f>$D$8*4</f>
        <v>2698176</v>
      </c>
      <c r="E11" s="80"/>
    </row>
    <row r="12" spans="1:5" ht="15" customHeight="1" x14ac:dyDescent="0.15">
      <c r="A12" s="77"/>
      <c r="B12" s="52">
        <v>5</v>
      </c>
      <c r="C12" s="65"/>
      <c r="D12" s="55">
        <f>$D$8*5</f>
        <v>3372720</v>
      </c>
      <c r="E12" s="80"/>
    </row>
    <row r="13" spans="1:5" ht="15" customHeight="1" x14ac:dyDescent="0.15">
      <c r="A13" s="77"/>
      <c r="B13" s="53">
        <v>6</v>
      </c>
      <c r="C13" s="65"/>
      <c r="D13" s="55">
        <f>$D$8*6</f>
        <v>4047264</v>
      </c>
      <c r="E13" s="80"/>
    </row>
    <row r="14" spans="1:5" ht="15" customHeight="1" x14ac:dyDescent="0.15">
      <c r="A14" s="77"/>
      <c r="B14" s="52">
        <v>1</v>
      </c>
      <c r="C14" s="65" t="s">
        <v>77</v>
      </c>
      <c r="D14" s="54">
        <v>702936</v>
      </c>
      <c r="E14" s="80"/>
    </row>
    <row r="15" spans="1:5" ht="15" customHeight="1" x14ac:dyDescent="0.15">
      <c r="A15" s="77"/>
      <c r="B15" s="53">
        <v>2</v>
      </c>
      <c r="C15" s="65"/>
      <c r="D15" s="55">
        <f>$D$14*2</f>
        <v>1405872</v>
      </c>
      <c r="E15" s="80"/>
    </row>
    <row r="16" spans="1:5" ht="15" customHeight="1" x14ac:dyDescent="0.15">
      <c r="A16" s="77"/>
      <c r="B16" s="52">
        <v>3</v>
      </c>
      <c r="C16" s="65"/>
      <c r="D16" s="55">
        <f>$D$14*3</f>
        <v>2108808</v>
      </c>
      <c r="E16" s="80"/>
    </row>
    <row r="17" spans="1:5" ht="15" customHeight="1" x14ac:dyDescent="0.15">
      <c r="A17" s="77"/>
      <c r="B17" s="53">
        <v>4</v>
      </c>
      <c r="C17" s="65"/>
      <c r="D17" s="55">
        <f>$D$14*4</f>
        <v>2811744</v>
      </c>
      <c r="E17" s="80"/>
    </row>
    <row r="18" spans="1:5" ht="15" customHeight="1" x14ac:dyDescent="0.15">
      <c r="A18" s="77"/>
      <c r="B18" s="52">
        <v>5</v>
      </c>
      <c r="C18" s="65"/>
      <c r="D18" s="55">
        <f>$D$14*5</f>
        <v>3514680</v>
      </c>
      <c r="E18" s="80"/>
    </row>
    <row r="19" spans="1:5" ht="15" customHeight="1" x14ac:dyDescent="0.15">
      <c r="A19" s="77"/>
      <c r="B19" s="53">
        <v>6</v>
      </c>
      <c r="C19" s="65"/>
      <c r="D19" s="55">
        <f>$D$14*6</f>
        <v>4217616</v>
      </c>
      <c r="E19" s="80"/>
    </row>
    <row r="20" spans="1:5" ht="15" customHeight="1" x14ac:dyDescent="0.15">
      <c r="A20" s="77"/>
      <c r="B20" s="52">
        <v>1</v>
      </c>
      <c r="C20" s="65" t="s">
        <v>78</v>
      </c>
      <c r="D20" s="54">
        <v>745524</v>
      </c>
      <c r="E20" s="80"/>
    </row>
    <row r="21" spans="1:5" ht="15" customHeight="1" x14ac:dyDescent="0.15">
      <c r="A21" s="77"/>
      <c r="B21" s="53">
        <v>2</v>
      </c>
      <c r="C21" s="65"/>
      <c r="D21" s="55">
        <f>$D$20*2</f>
        <v>1491048</v>
      </c>
      <c r="E21" s="80"/>
    </row>
    <row r="22" spans="1:5" ht="15" customHeight="1" x14ac:dyDescent="0.15">
      <c r="A22" s="77"/>
      <c r="B22" s="52">
        <v>3</v>
      </c>
      <c r="C22" s="65"/>
      <c r="D22" s="55">
        <f>$D$20*3</f>
        <v>2236572</v>
      </c>
      <c r="E22" s="80"/>
    </row>
    <row r="23" spans="1:5" ht="15" customHeight="1" x14ac:dyDescent="0.15">
      <c r="A23" s="77"/>
      <c r="B23" s="53">
        <v>4</v>
      </c>
      <c r="C23" s="65"/>
      <c r="D23" s="55">
        <f>$D$20*4</f>
        <v>2982096</v>
      </c>
      <c r="E23" s="80"/>
    </row>
    <row r="24" spans="1:5" ht="15" customHeight="1" x14ac:dyDescent="0.15">
      <c r="A24" s="77"/>
      <c r="B24" s="52">
        <v>5</v>
      </c>
      <c r="C24" s="65"/>
      <c r="D24" s="55">
        <f>$D$20*5</f>
        <v>3727620</v>
      </c>
      <c r="E24" s="80"/>
    </row>
    <row r="25" spans="1:5" ht="15" customHeight="1" x14ac:dyDescent="0.15">
      <c r="A25" s="77"/>
      <c r="B25" s="53">
        <v>6</v>
      </c>
      <c r="C25" s="65"/>
      <c r="D25" s="55">
        <f>$D$20*6</f>
        <v>4473144</v>
      </c>
      <c r="E25" s="80"/>
    </row>
    <row r="26" spans="1:5" ht="15" customHeight="1" x14ac:dyDescent="0.15">
      <c r="A26" s="77"/>
      <c r="B26" s="52">
        <v>1</v>
      </c>
      <c r="C26" s="65" t="s">
        <v>79</v>
      </c>
      <c r="D26" s="54">
        <v>710112</v>
      </c>
      <c r="E26" s="80"/>
    </row>
    <row r="27" spans="1:5" ht="15" customHeight="1" x14ac:dyDescent="0.15">
      <c r="A27" s="77"/>
      <c r="B27" s="53">
        <v>2</v>
      </c>
      <c r="C27" s="65"/>
      <c r="D27" s="55">
        <f>$D$26*2</f>
        <v>1420224</v>
      </c>
      <c r="E27" s="80"/>
    </row>
    <row r="28" spans="1:5" ht="15" customHeight="1" x14ac:dyDescent="0.15">
      <c r="A28" s="77"/>
      <c r="B28" s="52">
        <v>3</v>
      </c>
      <c r="C28" s="65"/>
      <c r="D28" s="55">
        <f>$D$26*3</f>
        <v>2130336</v>
      </c>
      <c r="E28" s="80"/>
    </row>
    <row r="29" spans="1:5" ht="15" customHeight="1" x14ac:dyDescent="0.15">
      <c r="A29" s="77"/>
      <c r="B29" s="53">
        <v>4</v>
      </c>
      <c r="C29" s="65"/>
      <c r="D29" s="55">
        <f>$D$26*4</f>
        <v>2840448</v>
      </c>
      <c r="E29" s="80"/>
    </row>
    <row r="30" spans="1:5" ht="15" customHeight="1" x14ac:dyDescent="0.15">
      <c r="A30" s="77"/>
      <c r="B30" s="52">
        <v>5</v>
      </c>
      <c r="C30" s="65"/>
      <c r="D30" s="55">
        <f>$D$26*5</f>
        <v>3550560</v>
      </c>
      <c r="E30" s="80"/>
    </row>
    <row r="31" spans="1:5" ht="15" customHeight="1" x14ac:dyDescent="0.15">
      <c r="A31" s="77"/>
      <c r="B31" s="53">
        <v>6</v>
      </c>
      <c r="C31" s="65"/>
      <c r="D31" s="55">
        <f>$D$26*6</f>
        <v>4260672</v>
      </c>
      <c r="E31" s="80"/>
    </row>
    <row r="32" spans="1:5" ht="15" customHeight="1" x14ac:dyDescent="0.15">
      <c r="A32" s="77"/>
      <c r="B32" s="52">
        <v>1</v>
      </c>
      <c r="C32" s="65" t="s">
        <v>80</v>
      </c>
      <c r="D32" s="54">
        <v>710112</v>
      </c>
      <c r="E32" s="80"/>
    </row>
    <row r="33" spans="1:5" ht="15" customHeight="1" x14ac:dyDescent="0.15">
      <c r="A33" s="77"/>
      <c r="B33" s="53">
        <v>2</v>
      </c>
      <c r="C33" s="65"/>
      <c r="D33" s="55">
        <f>$D$32*2</f>
        <v>1420224</v>
      </c>
      <c r="E33" s="80"/>
    </row>
    <row r="34" spans="1:5" ht="15" customHeight="1" x14ac:dyDescent="0.15">
      <c r="A34" s="77"/>
      <c r="B34" s="52">
        <v>3</v>
      </c>
      <c r="C34" s="65"/>
      <c r="D34" s="55">
        <f>$D$32*3</f>
        <v>2130336</v>
      </c>
      <c r="E34" s="80"/>
    </row>
    <row r="35" spans="1:5" ht="15" customHeight="1" x14ac:dyDescent="0.15">
      <c r="A35" s="77"/>
      <c r="B35" s="53">
        <v>4</v>
      </c>
      <c r="C35" s="65"/>
      <c r="D35" s="55">
        <f>$D$32*4</f>
        <v>2840448</v>
      </c>
      <c r="E35" s="80"/>
    </row>
    <row r="36" spans="1:5" ht="15" customHeight="1" x14ac:dyDescent="0.15">
      <c r="A36" s="77"/>
      <c r="B36" s="52">
        <v>5</v>
      </c>
      <c r="C36" s="65"/>
      <c r="D36" s="55">
        <f>$D$32*5</f>
        <v>3550560</v>
      </c>
      <c r="E36" s="80"/>
    </row>
    <row r="37" spans="1:5" ht="15" customHeight="1" x14ac:dyDescent="0.15">
      <c r="A37" s="77"/>
      <c r="B37" s="53">
        <v>6</v>
      </c>
      <c r="C37" s="65"/>
      <c r="D37" s="55">
        <f>$D$32*6</f>
        <v>4260672</v>
      </c>
      <c r="E37" s="80"/>
    </row>
    <row r="38" spans="1:5" ht="15" customHeight="1" x14ac:dyDescent="0.15">
      <c r="A38" s="77"/>
      <c r="B38" s="52">
        <v>1</v>
      </c>
      <c r="C38" s="65" t="s">
        <v>81</v>
      </c>
      <c r="D38" s="54">
        <v>710112</v>
      </c>
      <c r="E38" s="80"/>
    </row>
    <row r="39" spans="1:5" ht="15" customHeight="1" x14ac:dyDescent="0.15">
      <c r="A39" s="77"/>
      <c r="B39" s="53">
        <v>2</v>
      </c>
      <c r="C39" s="65"/>
      <c r="D39" s="55">
        <f>$D$38*2</f>
        <v>1420224</v>
      </c>
      <c r="E39" s="80"/>
    </row>
    <row r="40" spans="1:5" ht="15" customHeight="1" x14ac:dyDescent="0.15">
      <c r="A40" s="77"/>
      <c r="B40" s="52">
        <v>3</v>
      </c>
      <c r="C40" s="65"/>
      <c r="D40" s="55">
        <f>$D$38*3</f>
        <v>2130336</v>
      </c>
      <c r="E40" s="80"/>
    </row>
    <row r="41" spans="1:5" ht="15" customHeight="1" x14ac:dyDescent="0.15">
      <c r="A41" s="77"/>
      <c r="B41" s="53">
        <v>4</v>
      </c>
      <c r="C41" s="65"/>
      <c r="D41" s="55">
        <f>$D$38*4</f>
        <v>2840448</v>
      </c>
      <c r="E41" s="80"/>
    </row>
    <row r="42" spans="1:5" ht="15" customHeight="1" x14ac:dyDescent="0.15">
      <c r="A42" s="77"/>
      <c r="B42" s="52">
        <v>5</v>
      </c>
      <c r="C42" s="65"/>
      <c r="D42" s="55">
        <f>$D$38*5</f>
        <v>3550560</v>
      </c>
      <c r="E42" s="80"/>
    </row>
    <row r="43" spans="1:5" ht="15" customHeight="1" x14ac:dyDescent="0.15">
      <c r="A43" s="77"/>
      <c r="B43" s="53">
        <v>6</v>
      </c>
      <c r="C43" s="65"/>
      <c r="D43" s="55">
        <f>$D$38*6</f>
        <v>4260672</v>
      </c>
      <c r="E43" s="80"/>
    </row>
    <row r="44" spans="1:5" ht="15" customHeight="1" x14ac:dyDescent="0.15">
      <c r="A44" s="77"/>
      <c r="B44" s="52">
        <v>1</v>
      </c>
      <c r="C44" s="65" t="s">
        <v>82</v>
      </c>
      <c r="D44" s="54">
        <v>710112</v>
      </c>
      <c r="E44" s="80"/>
    </row>
    <row r="45" spans="1:5" ht="15" customHeight="1" x14ac:dyDescent="0.15">
      <c r="A45" s="77"/>
      <c r="B45" s="53">
        <v>2</v>
      </c>
      <c r="C45" s="65"/>
      <c r="D45" s="55">
        <f>$D$44*2</f>
        <v>1420224</v>
      </c>
      <c r="E45" s="80"/>
    </row>
    <row r="46" spans="1:5" ht="15" customHeight="1" x14ac:dyDescent="0.15">
      <c r="A46" s="77"/>
      <c r="B46" s="52">
        <v>3</v>
      </c>
      <c r="C46" s="65"/>
      <c r="D46" s="55">
        <f>$D$44*3</f>
        <v>2130336</v>
      </c>
      <c r="E46" s="80"/>
    </row>
    <row r="47" spans="1:5" ht="15" customHeight="1" x14ac:dyDescent="0.15">
      <c r="A47" s="77"/>
      <c r="B47" s="53">
        <v>4</v>
      </c>
      <c r="C47" s="65"/>
      <c r="D47" s="55">
        <f>$D$44*4</f>
        <v>2840448</v>
      </c>
      <c r="E47" s="80"/>
    </row>
    <row r="48" spans="1:5" ht="15" customHeight="1" x14ac:dyDescent="0.15">
      <c r="A48" s="77"/>
      <c r="B48" s="52">
        <v>5</v>
      </c>
      <c r="C48" s="65"/>
      <c r="D48" s="55">
        <f>$D$44*5</f>
        <v>3550560</v>
      </c>
      <c r="E48" s="80"/>
    </row>
    <row r="49" spans="1:5" ht="15" customHeight="1" x14ac:dyDescent="0.15">
      <c r="A49" s="77"/>
      <c r="B49" s="53">
        <v>6</v>
      </c>
      <c r="C49" s="65"/>
      <c r="D49" s="55">
        <f>$D$44*6</f>
        <v>4260672</v>
      </c>
      <c r="E49" s="80"/>
    </row>
    <row r="50" spans="1:5" ht="15" customHeight="1" x14ac:dyDescent="0.15">
      <c r="A50" s="77"/>
      <c r="B50" s="52">
        <v>1</v>
      </c>
      <c r="C50" s="65" t="s">
        <v>83</v>
      </c>
      <c r="D50" s="54">
        <v>702936</v>
      </c>
      <c r="E50" s="80"/>
    </row>
    <row r="51" spans="1:5" ht="15" customHeight="1" x14ac:dyDescent="0.15">
      <c r="A51" s="77"/>
      <c r="B51" s="53">
        <v>2</v>
      </c>
      <c r="C51" s="65"/>
      <c r="D51" s="55">
        <f>$D$50*2</f>
        <v>1405872</v>
      </c>
      <c r="E51" s="80"/>
    </row>
    <row r="52" spans="1:5" ht="15" customHeight="1" x14ac:dyDescent="0.15">
      <c r="A52" s="77"/>
      <c r="B52" s="52">
        <v>3</v>
      </c>
      <c r="C52" s="65"/>
      <c r="D52" s="55">
        <f>$D$50*3</f>
        <v>2108808</v>
      </c>
      <c r="E52" s="80"/>
    </row>
    <row r="53" spans="1:5" ht="15" customHeight="1" x14ac:dyDescent="0.15">
      <c r="A53" s="77"/>
      <c r="B53" s="53">
        <v>4</v>
      </c>
      <c r="C53" s="65"/>
      <c r="D53" s="55">
        <f>$D$50*4</f>
        <v>2811744</v>
      </c>
      <c r="E53" s="80"/>
    </row>
    <row r="54" spans="1:5" ht="15" customHeight="1" x14ac:dyDescent="0.15">
      <c r="A54" s="77"/>
      <c r="B54" s="52">
        <v>5</v>
      </c>
      <c r="C54" s="65"/>
      <c r="D54" s="55">
        <f>$D$50*5</f>
        <v>3514680</v>
      </c>
      <c r="E54" s="80"/>
    </row>
    <row r="55" spans="1:5" ht="15" customHeight="1" x14ac:dyDescent="0.15">
      <c r="A55" s="77"/>
      <c r="B55" s="53">
        <v>6</v>
      </c>
      <c r="C55" s="65"/>
      <c r="D55" s="55">
        <f>$D$50*6</f>
        <v>4217616</v>
      </c>
      <c r="E55" s="80"/>
    </row>
    <row r="56" spans="1:5" ht="15" customHeight="1" x14ac:dyDescent="0.15">
      <c r="A56" s="77"/>
      <c r="B56" s="52">
        <v>1</v>
      </c>
      <c r="C56" s="65" t="s">
        <v>84</v>
      </c>
      <c r="D56" s="54">
        <v>702936</v>
      </c>
      <c r="E56" s="80"/>
    </row>
    <row r="57" spans="1:5" ht="15" customHeight="1" x14ac:dyDescent="0.15">
      <c r="A57" s="77"/>
      <c r="B57" s="53">
        <v>2</v>
      </c>
      <c r="C57" s="65"/>
      <c r="D57" s="55">
        <f>$D$56*2</f>
        <v>1405872</v>
      </c>
      <c r="E57" s="80"/>
    </row>
    <row r="58" spans="1:5" ht="15" customHeight="1" x14ac:dyDescent="0.15">
      <c r="A58" s="77"/>
      <c r="B58" s="52">
        <v>3</v>
      </c>
      <c r="C58" s="65"/>
      <c r="D58" s="55">
        <f>$D$56*3</f>
        <v>2108808</v>
      </c>
      <c r="E58" s="80"/>
    </row>
    <row r="59" spans="1:5" ht="15" customHeight="1" x14ac:dyDescent="0.15">
      <c r="A59" s="77"/>
      <c r="B59" s="53">
        <v>4</v>
      </c>
      <c r="C59" s="65"/>
      <c r="D59" s="55">
        <f>$D$56*4</f>
        <v>2811744</v>
      </c>
      <c r="E59" s="80"/>
    </row>
    <row r="60" spans="1:5" ht="15" customHeight="1" x14ac:dyDescent="0.15">
      <c r="A60" s="77"/>
      <c r="B60" s="52">
        <v>5</v>
      </c>
      <c r="C60" s="65"/>
      <c r="D60" s="55">
        <f>$D$56*5</f>
        <v>3514680</v>
      </c>
      <c r="E60" s="80"/>
    </row>
    <row r="61" spans="1:5" ht="15" customHeight="1" x14ac:dyDescent="0.15">
      <c r="A61" s="77"/>
      <c r="B61" s="53">
        <v>6</v>
      </c>
      <c r="C61" s="65"/>
      <c r="D61" s="55">
        <f>$D$56*6</f>
        <v>4217616</v>
      </c>
      <c r="E61" s="80"/>
    </row>
    <row r="62" spans="1:5" ht="15" customHeight="1" x14ac:dyDescent="0.15">
      <c r="A62" s="77"/>
      <c r="B62" s="52">
        <v>1</v>
      </c>
      <c r="C62" s="65" t="s">
        <v>85</v>
      </c>
      <c r="D62" s="54">
        <v>603564</v>
      </c>
      <c r="E62" s="80"/>
    </row>
    <row r="63" spans="1:5" ht="15" customHeight="1" x14ac:dyDescent="0.15">
      <c r="A63" s="77"/>
      <c r="B63" s="53">
        <v>2</v>
      </c>
      <c r="C63" s="65"/>
      <c r="D63" s="55">
        <f>$D$62*2</f>
        <v>1207128</v>
      </c>
      <c r="E63" s="80"/>
    </row>
    <row r="64" spans="1:5" ht="15" customHeight="1" x14ac:dyDescent="0.15">
      <c r="A64" s="77"/>
      <c r="B64" s="52">
        <v>3</v>
      </c>
      <c r="C64" s="65"/>
      <c r="D64" s="55">
        <f>$D$62*3</f>
        <v>1810692</v>
      </c>
      <c r="E64" s="80"/>
    </row>
    <row r="65" spans="1:10" ht="15" customHeight="1" x14ac:dyDescent="0.15">
      <c r="A65" s="77"/>
      <c r="B65" s="53">
        <v>4</v>
      </c>
      <c r="C65" s="65"/>
      <c r="D65" s="55">
        <f>$D$62*4</f>
        <v>2414256</v>
      </c>
      <c r="E65" s="80"/>
    </row>
    <row r="66" spans="1:10" ht="15" customHeight="1" x14ac:dyDescent="0.15">
      <c r="A66" s="77"/>
      <c r="B66" s="52">
        <v>5</v>
      </c>
      <c r="C66" s="65"/>
      <c r="D66" s="55">
        <f>$D$62*5</f>
        <v>3017820</v>
      </c>
      <c r="E66" s="80"/>
    </row>
    <row r="67" spans="1:10" ht="15" customHeight="1" x14ac:dyDescent="0.15">
      <c r="A67" s="78"/>
      <c r="B67" s="53">
        <v>6</v>
      </c>
      <c r="C67" s="65"/>
      <c r="D67" s="55">
        <f>$D$62*6</f>
        <v>3621384</v>
      </c>
      <c r="E67" s="81"/>
      <c r="F67" s="8" t="s">
        <v>23</v>
      </c>
      <c r="G67" s="8" t="s">
        <v>24</v>
      </c>
      <c r="H67" s="8" t="s">
        <v>25</v>
      </c>
      <c r="I67" s="8" t="s">
        <v>86</v>
      </c>
      <c r="J67" s="8" t="s">
        <v>26</v>
      </c>
    </row>
    <row r="68" spans="1:10" ht="15" customHeight="1" x14ac:dyDescent="0.15">
      <c r="A68" s="76" t="s">
        <v>27</v>
      </c>
      <c r="B68" s="1">
        <v>1</v>
      </c>
      <c r="C68" s="9"/>
      <c r="D68" s="5">
        <f>J68</f>
        <v>31511</v>
      </c>
      <c r="E68" s="79" t="s">
        <v>28</v>
      </c>
      <c r="F68" s="10">
        <v>27790</v>
      </c>
      <c r="G68" s="10">
        <f>H78</f>
        <v>1126</v>
      </c>
      <c r="H68" s="10">
        <f>H88</f>
        <v>1095</v>
      </c>
      <c r="I68" s="10">
        <v>1500</v>
      </c>
      <c r="J68" s="10">
        <f>SUM(F68:I68)</f>
        <v>31511</v>
      </c>
    </row>
    <row r="69" spans="1:10" ht="15" customHeight="1" x14ac:dyDescent="0.15">
      <c r="A69" s="77"/>
      <c r="B69" s="6">
        <v>2</v>
      </c>
      <c r="C69" s="9"/>
      <c r="D69" s="5">
        <f t="shared" ref="D69:D76" si="0">J69</f>
        <v>44449</v>
      </c>
      <c r="E69" s="80"/>
      <c r="F69" s="10">
        <v>38060</v>
      </c>
      <c r="G69" s="10">
        <f t="shared" ref="G69:G75" si="1">H79</f>
        <v>1835</v>
      </c>
      <c r="H69" s="10">
        <f t="shared" ref="H69:H77" si="2">H89</f>
        <v>1554</v>
      </c>
      <c r="I69" s="10">
        <v>3000</v>
      </c>
      <c r="J69" s="10">
        <f t="shared" ref="J69:J77" si="3">SUM(F69:I69)</f>
        <v>44449</v>
      </c>
    </row>
    <row r="70" spans="1:10" ht="15" customHeight="1" x14ac:dyDescent="0.15">
      <c r="A70" s="77"/>
      <c r="B70" s="1">
        <v>3</v>
      </c>
      <c r="C70" s="9"/>
      <c r="D70" s="5">
        <f t="shared" si="0"/>
        <v>52889</v>
      </c>
      <c r="E70" s="80"/>
      <c r="F70" s="10">
        <v>44730</v>
      </c>
      <c r="G70" s="10">
        <f t="shared" si="1"/>
        <v>1893</v>
      </c>
      <c r="H70" s="10">
        <f t="shared" si="2"/>
        <v>1766</v>
      </c>
      <c r="I70" s="10">
        <v>4500</v>
      </c>
      <c r="J70" s="10">
        <f t="shared" si="3"/>
        <v>52889</v>
      </c>
    </row>
    <row r="71" spans="1:10" ht="15" customHeight="1" x14ac:dyDescent="0.15">
      <c r="A71" s="77"/>
      <c r="B71" s="6">
        <v>4</v>
      </c>
      <c r="C71" s="9"/>
      <c r="D71" s="5">
        <f t="shared" si="0"/>
        <v>58937</v>
      </c>
      <c r="E71" s="80"/>
      <c r="F71" s="10">
        <v>48900</v>
      </c>
      <c r="G71" s="10">
        <f t="shared" si="1"/>
        <v>2129</v>
      </c>
      <c r="H71" s="10">
        <f t="shared" si="2"/>
        <v>1908</v>
      </c>
      <c r="I71" s="10">
        <v>6000</v>
      </c>
      <c r="J71" s="10">
        <f t="shared" si="3"/>
        <v>58937</v>
      </c>
    </row>
    <row r="72" spans="1:10" ht="15" customHeight="1" x14ac:dyDescent="0.15">
      <c r="A72" s="77"/>
      <c r="B72" s="1">
        <v>5</v>
      </c>
      <c r="C72" s="9"/>
      <c r="D72" s="5">
        <f t="shared" si="0"/>
        <v>60861</v>
      </c>
      <c r="E72" s="80"/>
      <c r="F72" s="10">
        <v>49180</v>
      </c>
      <c r="G72" s="10">
        <f t="shared" si="1"/>
        <v>2219</v>
      </c>
      <c r="H72" s="10">
        <f t="shared" si="2"/>
        <v>1962</v>
      </c>
      <c r="I72" s="10">
        <v>7500</v>
      </c>
      <c r="J72" s="10">
        <f t="shared" si="3"/>
        <v>60861</v>
      </c>
    </row>
    <row r="73" spans="1:10" ht="15" customHeight="1" x14ac:dyDescent="0.15">
      <c r="A73" s="77"/>
      <c r="B73" s="6">
        <v>6</v>
      </c>
      <c r="C73" s="9"/>
      <c r="D73" s="5">
        <f t="shared" si="0"/>
        <v>69260</v>
      </c>
      <c r="E73" s="80"/>
      <c r="F73" s="10">
        <v>55650</v>
      </c>
      <c r="G73" s="10">
        <f t="shared" si="1"/>
        <v>2523</v>
      </c>
      <c r="H73" s="10">
        <f t="shared" si="2"/>
        <v>2087</v>
      </c>
      <c r="I73" s="10">
        <v>9000</v>
      </c>
      <c r="J73" s="10">
        <f t="shared" si="3"/>
        <v>69260</v>
      </c>
    </row>
    <row r="74" spans="1:10" ht="15" customHeight="1" x14ac:dyDescent="0.15">
      <c r="A74" s="77"/>
      <c r="B74" s="1">
        <v>7</v>
      </c>
      <c r="C74" s="9"/>
      <c r="D74" s="5">
        <f t="shared" si="0"/>
        <v>74275</v>
      </c>
      <c r="E74" s="80"/>
      <c r="F74" s="10">
        <v>58920</v>
      </c>
      <c r="G74" s="10">
        <f t="shared" si="1"/>
        <v>2680</v>
      </c>
      <c r="H74" s="10">
        <f t="shared" si="2"/>
        <v>2175</v>
      </c>
      <c r="I74" s="10">
        <v>10500</v>
      </c>
      <c r="J74" s="10">
        <f t="shared" si="3"/>
        <v>74275</v>
      </c>
    </row>
    <row r="75" spans="1:10" ht="15" customHeight="1" x14ac:dyDescent="0.15">
      <c r="A75" s="77"/>
      <c r="B75" s="6">
        <v>8</v>
      </c>
      <c r="C75" s="9"/>
      <c r="D75" s="5">
        <f t="shared" si="0"/>
        <v>78989</v>
      </c>
      <c r="E75" s="80"/>
      <c r="F75" s="10">
        <v>61910</v>
      </c>
      <c r="G75" s="10">
        <f t="shared" si="1"/>
        <v>2838</v>
      </c>
      <c r="H75" s="10">
        <f t="shared" si="2"/>
        <v>2241</v>
      </c>
      <c r="I75" s="10">
        <v>12000</v>
      </c>
      <c r="J75" s="10">
        <f t="shared" si="3"/>
        <v>78989</v>
      </c>
    </row>
    <row r="76" spans="1:10" ht="15" customHeight="1" x14ac:dyDescent="0.15">
      <c r="A76" s="77"/>
      <c r="B76" s="1">
        <v>9</v>
      </c>
      <c r="C76" s="9"/>
      <c r="D76" s="5">
        <f t="shared" si="0"/>
        <v>83460</v>
      </c>
      <c r="E76" s="80"/>
      <c r="F76" s="10">
        <v>64670</v>
      </c>
      <c r="G76" s="10">
        <f>H86</f>
        <v>2974</v>
      </c>
      <c r="H76" s="10">
        <f t="shared" si="2"/>
        <v>2316</v>
      </c>
      <c r="I76" s="10">
        <v>13500</v>
      </c>
      <c r="J76" s="10">
        <f t="shared" si="3"/>
        <v>83460</v>
      </c>
    </row>
    <row r="77" spans="1:10" ht="15" customHeight="1" x14ac:dyDescent="0.15">
      <c r="A77" s="78"/>
      <c r="B77" s="6">
        <v>10</v>
      </c>
      <c r="C77" s="9"/>
      <c r="D77" s="5">
        <f>J77</f>
        <v>87930</v>
      </c>
      <c r="E77" s="81"/>
      <c r="F77" s="10">
        <v>67430</v>
      </c>
      <c r="G77" s="10">
        <f>H87</f>
        <v>3109</v>
      </c>
      <c r="H77" s="10">
        <f t="shared" si="2"/>
        <v>2391</v>
      </c>
      <c r="I77" s="10">
        <v>15000</v>
      </c>
      <c r="J77" s="10">
        <f t="shared" si="3"/>
        <v>87930</v>
      </c>
    </row>
    <row r="78" spans="1:10" ht="15" customHeight="1" x14ac:dyDescent="0.15">
      <c r="A78" s="76" t="s">
        <v>29</v>
      </c>
      <c r="B78" s="1">
        <v>1</v>
      </c>
      <c r="C78" s="9"/>
      <c r="D78" s="11">
        <f>H78</f>
        <v>1126</v>
      </c>
      <c r="E78" s="67" t="s">
        <v>30</v>
      </c>
      <c r="F78" s="10">
        <v>13520</v>
      </c>
      <c r="G78" s="4" t="s">
        <v>31</v>
      </c>
      <c r="H78" s="10">
        <f>ROUNDDOWN(F78/12,0)</f>
        <v>1126</v>
      </c>
      <c r="I78" s="56"/>
    </row>
    <row r="79" spans="1:10" ht="15" customHeight="1" x14ac:dyDescent="0.15">
      <c r="A79" s="77"/>
      <c r="B79" s="6">
        <v>2</v>
      </c>
      <c r="C79" s="9"/>
      <c r="D79" s="11">
        <f t="shared" ref="D79:D87" si="4">H79</f>
        <v>1835</v>
      </c>
      <c r="E79" s="68"/>
      <c r="F79" s="10">
        <v>22030</v>
      </c>
      <c r="G79" s="4" t="s">
        <v>31</v>
      </c>
      <c r="H79" s="10">
        <f t="shared" ref="H79:H87" si="5">ROUNDDOWN(F79/12,0)</f>
        <v>1835</v>
      </c>
      <c r="I79" s="56"/>
    </row>
    <row r="80" spans="1:10" ht="15" customHeight="1" x14ac:dyDescent="0.15">
      <c r="A80" s="77"/>
      <c r="B80" s="1">
        <v>3</v>
      </c>
      <c r="C80" s="9"/>
      <c r="D80" s="11">
        <f t="shared" si="4"/>
        <v>1893</v>
      </c>
      <c r="E80" s="68"/>
      <c r="F80" s="10">
        <v>22720</v>
      </c>
      <c r="G80" s="4" t="s">
        <v>31</v>
      </c>
      <c r="H80" s="10">
        <f t="shared" si="5"/>
        <v>1893</v>
      </c>
      <c r="I80" s="56"/>
    </row>
    <row r="81" spans="1:10" ht="15" customHeight="1" x14ac:dyDescent="0.15">
      <c r="A81" s="77"/>
      <c r="B81" s="6">
        <v>4</v>
      </c>
      <c r="C81" s="9"/>
      <c r="D81" s="11">
        <f t="shared" si="4"/>
        <v>2129</v>
      </c>
      <c r="E81" s="68"/>
      <c r="F81" s="10">
        <v>25550</v>
      </c>
      <c r="G81" s="4" t="s">
        <v>31</v>
      </c>
      <c r="H81" s="10">
        <f t="shared" si="5"/>
        <v>2129</v>
      </c>
      <c r="I81" s="56"/>
    </row>
    <row r="82" spans="1:10" ht="15" customHeight="1" x14ac:dyDescent="0.15">
      <c r="A82" s="77"/>
      <c r="B82" s="1">
        <v>5</v>
      </c>
      <c r="C82" s="9"/>
      <c r="D82" s="11">
        <f t="shared" si="4"/>
        <v>2219</v>
      </c>
      <c r="E82" s="68"/>
      <c r="F82" s="10">
        <v>26630</v>
      </c>
      <c r="G82" s="4" t="s">
        <v>31</v>
      </c>
      <c r="H82" s="10">
        <f t="shared" si="5"/>
        <v>2219</v>
      </c>
      <c r="I82" s="56"/>
    </row>
    <row r="83" spans="1:10" ht="15" customHeight="1" x14ac:dyDescent="0.15">
      <c r="A83" s="77"/>
      <c r="B83" s="6">
        <v>6</v>
      </c>
      <c r="C83" s="9"/>
      <c r="D83" s="11">
        <f t="shared" si="4"/>
        <v>2523</v>
      </c>
      <c r="E83" s="68"/>
      <c r="F83" s="10">
        <v>30280</v>
      </c>
      <c r="G83" s="4" t="s">
        <v>31</v>
      </c>
      <c r="H83" s="10">
        <f t="shared" si="5"/>
        <v>2523</v>
      </c>
      <c r="I83" s="56"/>
    </row>
    <row r="84" spans="1:10" ht="15" customHeight="1" x14ac:dyDescent="0.15">
      <c r="A84" s="77"/>
      <c r="B84" s="1">
        <v>7</v>
      </c>
      <c r="C84" s="9"/>
      <c r="D84" s="11">
        <f t="shared" si="4"/>
        <v>2680</v>
      </c>
      <c r="E84" s="68"/>
      <c r="F84" s="10">
        <v>32170</v>
      </c>
      <c r="G84" s="4" t="s">
        <v>31</v>
      </c>
      <c r="H84" s="10">
        <f t="shared" si="5"/>
        <v>2680</v>
      </c>
      <c r="I84" s="56"/>
    </row>
    <row r="85" spans="1:10" ht="15" customHeight="1" x14ac:dyDescent="0.15">
      <c r="A85" s="77"/>
      <c r="B85" s="6">
        <v>8</v>
      </c>
      <c r="C85" s="9"/>
      <c r="D85" s="11">
        <f t="shared" si="4"/>
        <v>2838</v>
      </c>
      <c r="E85" s="68"/>
      <c r="F85" s="10">
        <v>34060</v>
      </c>
      <c r="G85" s="4" t="s">
        <v>31</v>
      </c>
      <c r="H85" s="10">
        <f t="shared" si="5"/>
        <v>2838</v>
      </c>
      <c r="I85" s="56"/>
    </row>
    <row r="86" spans="1:10" ht="15" customHeight="1" x14ac:dyDescent="0.15">
      <c r="A86" s="77"/>
      <c r="B86" s="6">
        <v>9</v>
      </c>
      <c r="C86" s="9"/>
      <c r="D86" s="11">
        <f t="shared" si="4"/>
        <v>2974</v>
      </c>
      <c r="E86" s="68"/>
      <c r="F86" s="10">
        <v>35690</v>
      </c>
      <c r="G86" s="4" t="s">
        <v>31</v>
      </c>
      <c r="H86" s="10">
        <f t="shared" si="5"/>
        <v>2974</v>
      </c>
      <c r="I86" s="56"/>
    </row>
    <row r="87" spans="1:10" ht="15" customHeight="1" x14ac:dyDescent="0.15">
      <c r="A87" s="78"/>
      <c r="B87" s="6">
        <v>10</v>
      </c>
      <c r="C87" s="9"/>
      <c r="D87" s="11">
        <f t="shared" si="4"/>
        <v>3109</v>
      </c>
      <c r="E87" s="69"/>
      <c r="F87" s="12">
        <v>37310</v>
      </c>
      <c r="G87" s="4" t="s">
        <v>31</v>
      </c>
      <c r="H87" s="12">
        <f t="shared" si="5"/>
        <v>3109</v>
      </c>
      <c r="I87" s="56"/>
    </row>
    <row r="88" spans="1:10" ht="13.5" customHeight="1" x14ac:dyDescent="0.15">
      <c r="A88" s="66" t="s">
        <v>25</v>
      </c>
      <c r="B88" s="13">
        <v>1</v>
      </c>
      <c r="C88" s="14"/>
      <c r="D88" s="15">
        <f>H88</f>
        <v>1095</v>
      </c>
      <c r="E88" s="67" t="s">
        <v>32</v>
      </c>
      <c r="F88" s="10">
        <v>2630</v>
      </c>
      <c r="G88" s="16" t="s">
        <v>33</v>
      </c>
      <c r="H88" s="10">
        <f t="shared" ref="H88:H97" si="6">ROUNDDOWN(F88*5/12,0)</f>
        <v>1095</v>
      </c>
      <c r="I88" s="16"/>
      <c r="J88" s="17"/>
    </row>
    <row r="89" spans="1:10" x14ac:dyDescent="0.15">
      <c r="A89" s="66"/>
      <c r="B89" s="13">
        <v>2</v>
      </c>
      <c r="C89" s="14"/>
      <c r="D89" s="15">
        <f t="shared" ref="D89:D97" si="7">H89</f>
        <v>1554</v>
      </c>
      <c r="E89" s="68"/>
      <c r="F89" s="10">
        <v>3730</v>
      </c>
      <c r="G89" s="18" t="s">
        <v>33</v>
      </c>
      <c r="H89" s="10">
        <f t="shared" si="6"/>
        <v>1554</v>
      </c>
      <c r="I89" s="56"/>
    </row>
    <row r="90" spans="1:10" x14ac:dyDescent="0.15">
      <c r="A90" s="66"/>
      <c r="B90" s="13">
        <v>3</v>
      </c>
      <c r="C90" s="14"/>
      <c r="D90" s="15">
        <f t="shared" si="7"/>
        <v>1766</v>
      </c>
      <c r="E90" s="68"/>
      <c r="F90" s="10">
        <v>4240</v>
      </c>
      <c r="G90" s="18" t="s">
        <v>33</v>
      </c>
      <c r="H90" s="10">
        <f t="shared" si="6"/>
        <v>1766</v>
      </c>
      <c r="I90" s="56"/>
    </row>
    <row r="91" spans="1:10" x14ac:dyDescent="0.15">
      <c r="A91" s="66"/>
      <c r="B91" s="13">
        <v>4</v>
      </c>
      <c r="C91" s="14"/>
      <c r="D91" s="15">
        <f t="shared" si="7"/>
        <v>1908</v>
      </c>
      <c r="E91" s="68"/>
      <c r="F91" s="10">
        <v>4580</v>
      </c>
      <c r="G91" s="18" t="s">
        <v>33</v>
      </c>
      <c r="H91" s="10">
        <f t="shared" si="6"/>
        <v>1908</v>
      </c>
      <c r="I91" s="56"/>
    </row>
    <row r="92" spans="1:10" x14ac:dyDescent="0.15">
      <c r="A92" s="66"/>
      <c r="B92" s="13">
        <v>5</v>
      </c>
      <c r="C92" s="14"/>
      <c r="D92" s="15">
        <f t="shared" si="7"/>
        <v>1962</v>
      </c>
      <c r="E92" s="68"/>
      <c r="F92" s="10">
        <v>4710</v>
      </c>
      <c r="G92" s="18" t="s">
        <v>33</v>
      </c>
      <c r="H92" s="10">
        <f t="shared" si="6"/>
        <v>1962</v>
      </c>
      <c r="I92" s="56"/>
    </row>
    <row r="93" spans="1:10" x14ac:dyDescent="0.15">
      <c r="A93" s="66"/>
      <c r="B93" s="13">
        <v>6</v>
      </c>
      <c r="C93" s="14"/>
      <c r="D93" s="15">
        <f t="shared" si="7"/>
        <v>2087</v>
      </c>
      <c r="E93" s="68"/>
      <c r="F93" s="10">
        <v>5010</v>
      </c>
      <c r="G93" s="18" t="s">
        <v>33</v>
      </c>
      <c r="H93" s="10">
        <f t="shared" si="6"/>
        <v>2087</v>
      </c>
      <c r="I93" s="56"/>
    </row>
    <row r="94" spans="1:10" x14ac:dyDescent="0.15">
      <c r="A94" s="66"/>
      <c r="B94" s="13">
        <v>7</v>
      </c>
      <c r="C94" s="14"/>
      <c r="D94" s="15">
        <f t="shared" si="7"/>
        <v>2175</v>
      </c>
      <c r="E94" s="68"/>
      <c r="F94" s="10">
        <v>5220</v>
      </c>
      <c r="G94" s="18" t="s">
        <v>33</v>
      </c>
      <c r="H94" s="10">
        <f t="shared" si="6"/>
        <v>2175</v>
      </c>
      <c r="I94" s="56"/>
    </row>
    <row r="95" spans="1:10" x14ac:dyDescent="0.15">
      <c r="A95" s="66"/>
      <c r="B95" s="13">
        <v>8</v>
      </c>
      <c r="C95" s="14"/>
      <c r="D95" s="15">
        <f t="shared" si="7"/>
        <v>2241</v>
      </c>
      <c r="E95" s="68"/>
      <c r="F95" s="10">
        <v>5380</v>
      </c>
      <c r="G95" s="18" t="s">
        <v>33</v>
      </c>
      <c r="H95" s="10">
        <f t="shared" si="6"/>
        <v>2241</v>
      </c>
      <c r="I95" s="56"/>
    </row>
    <row r="96" spans="1:10" x14ac:dyDescent="0.15">
      <c r="A96" s="66"/>
      <c r="B96" s="13">
        <v>9</v>
      </c>
      <c r="C96" s="14"/>
      <c r="D96" s="15">
        <f t="shared" si="7"/>
        <v>2316</v>
      </c>
      <c r="E96" s="68"/>
      <c r="F96" s="10">
        <v>5560</v>
      </c>
      <c r="G96" s="18" t="s">
        <v>33</v>
      </c>
      <c r="H96" s="10">
        <f t="shared" si="6"/>
        <v>2316</v>
      </c>
      <c r="I96" s="56"/>
    </row>
    <row r="97" spans="1:10" x14ac:dyDescent="0.15">
      <c r="A97" s="66"/>
      <c r="B97" s="13">
        <v>10</v>
      </c>
      <c r="C97" s="14"/>
      <c r="D97" s="15">
        <f t="shared" si="7"/>
        <v>2391</v>
      </c>
      <c r="E97" s="69"/>
      <c r="F97" s="12">
        <v>5740</v>
      </c>
      <c r="G97" s="18" t="s">
        <v>33</v>
      </c>
      <c r="H97" s="12">
        <f t="shared" si="6"/>
        <v>2391</v>
      </c>
      <c r="I97" s="56"/>
    </row>
    <row r="98" spans="1:10" ht="15" customHeight="1" x14ac:dyDescent="0.15">
      <c r="A98" s="76" t="s">
        <v>34</v>
      </c>
      <c r="B98" s="1">
        <v>1</v>
      </c>
      <c r="C98" s="9" t="s">
        <v>35</v>
      </c>
      <c r="D98" s="5">
        <v>107460</v>
      </c>
      <c r="E98" s="67" t="s">
        <v>36</v>
      </c>
      <c r="F98" s="70" t="s">
        <v>87</v>
      </c>
      <c r="G98" s="71"/>
      <c r="H98" s="71"/>
      <c r="I98" s="71"/>
      <c r="J98" s="71"/>
    </row>
    <row r="99" spans="1:10" ht="15" customHeight="1" x14ac:dyDescent="0.15">
      <c r="A99" s="77"/>
      <c r="B99" s="6">
        <v>2</v>
      </c>
      <c r="C99" s="9" t="s">
        <v>35</v>
      </c>
      <c r="D99" s="7">
        <f>SUM(D98*2)</f>
        <v>214920</v>
      </c>
      <c r="E99" s="80"/>
      <c r="F99" s="72"/>
      <c r="G99" s="73"/>
      <c r="H99" s="73"/>
      <c r="I99" s="73"/>
      <c r="J99" s="73"/>
    </row>
    <row r="100" spans="1:10" ht="15" customHeight="1" x14ac:dyDescent="0.15">
      <c r="A100" s="77"/>
      <c r="B100" s="1">
        <v>3</v>
      </c>
      <c r="C100" s="9" t="s">
        <v>35</v>
      </c>
      <c r="D100" s="7">
        <f>SUM(D98*3)</f>
        <v>322380</v>
      </c>
      <c r="E100" s="80"/>
      <c r="F100" s="72"/>
      <c r="G100" s="73"/>
      <c r="H100" s="73"/>
      <c r="I100" s="73"/>
      <c r="J100" s="73"/>
    </row>
    <row r="101" spans="1:10" ht="15" customHeight="1" x14ac:dyDescent="0.15">
      <c r="A101" s="77"/>
      <c r="B101" s="6">
        <v>4</v>
      </c>
      <c r="C101" s="9" t="s">
        <v>35</v>
      </c>
      <c r="D101" s="7">
        <f>SUM(D98*4)</f>
        <v>429840</v>
      </c>
      <c r="E101" s="80"/>
      <c r="F101" s="72"/>
      <c r="G101" s="73"/>
      <c r="H101" s="73"/>
      <c r="I101" s="73"/>
      <c r="J101" s="73"/>
    </row>
    <row r="102" spans="1:10" ht="15" customHeight="1" x14ac:dyDescent="0.15">
      <c r="A102" s="77"/>
      <c r="B102" s="1">
        <v>5</v>
      </c>
      <c r="C102" s="9" t="s">
        <v>35</v>
      </c>
      <c r="D102" s="7">
        <f>SUM(D98*5)</f>
        <v>537300</v>
      </c>
      <c r="E102" s="80"/>
      <c r="F102" s="72"/>
      <c r="G102" s="73"/>
      <c r="H102" s="73"/>
      <c r="I102" s="73"/>
      <c r="J102" s="73"/>
    </row>
    <row r="103" spans="1:10" ht="15" customHeight="1" x14ac:dyDescent="0.15">
      <c r="A103" s="77"/>
      <c r="B103" s="1">
        <v>1</v>
      </c>
      <c r="C103" s="9" t="s">
        <v>37</v>
      </c>
      <c r="D103" s="5">
        <v>188000</v>
      </c>
      <c r="E103" s="80"/>
      <c r="F103" s="72" t="s">
        <v>88</v>
      </c>
      <c r="G103" s="73"/>
      <c r="H103" s="73"/>
      <c r="I103" s="73"/>
      <c r="J103" s="73"/>
    </row>
    <row r="104" spans="1:10" ht="15" customHeight="1" x14ac:dyDescent="0.15">
      <c r="A104" s="77"/>
      <c r="B104" s="6">
        <v>2</v>
      </c>
      <c r="C104" s="9" t="s">
        <v>37</v>
      </c>
      <c r="D104" s="7">
        <f>SUM(D103*2)</f>
        <v>376000</v>
      </c>
      <c r="E104" s="80"/>
      <c r="F104" s="72"/>
      <c r="G104" s="73"/>
      <c r="H104" s="73"/>
      <c r="I104" s="73"/>
      <c r="J104" s="73"/>
    </row>
    <row r="105" spans="1:10" ht="15" customHeight="1" x14ac:dyDescent="0.15">
      <c r="A105" s="77"/>
      <c r="B105" s="1">
        <v>3</v>
      </c>
      <c r="C105" s="9" t="s">
        <v>37</v>
      </c>
      <c r="D105" s="7">
        <f>SUM(D103*3)</f>
        <v>564000</v>
      </c>
      <c r="E105" s="80"/>
      <c r="F105" s="72"/>
      <c r="G105" s="73"/>
      <c r="H105" s="73"/>
      <c r="I105" s="73"/>
      <c r="J105" s="73"/>
    </row>
    <row r="106" spans="1:10" ht="15" customHeight="1" x14ac:dyDescent="0.15">
      <c r="A106" s="77"/>
      <c r="B106" s="6">
        <v>4</v>
      </c>
      <c r="C106" s="9" t="s">
        <v>37</v>
      </c>
      <c r="D106" s="7">
        <f>SUM(D103*4)</f>
        <v>752000</v>
      </c>
      <c r="E106" s="80"/>
      <c r="F106" s="72"/>
      <c r="G106" s="73"/>
      <c r="H106" s="73"/>
      <c r="I106" s="73"/>
      <c r="J106" s="73"/>
    </row>
    <row r="107" spans="1:10" ht="15" customHeight="1" x14ac:dyDescent="0.15">
      <c r="A107" s="78"/>
      <c r="B107" s="1">
        <v>5</v>
      </c>
      <c r="C107" s="9" t="s">
        <v>37</v>
      </c>
      <c r="D107" s="7">
        <f>SUM(D103*5)</f>
        <v>940000</v>
      </c>
      <c r="E107" s="81"/>
      <c r="F107" s="74"/>
      <c r="G107" s="75"/>
      <c r="H107" s="75"/>
      <c r="I107" s="75"/>
      <c r="J107" s="75"/>
    </row>
    <row r="108" spans="1:10" ht="129" customHeight="1" x14ac:dyDescent="0.15">
      <c r="A108" s="19" t="s">
        <v>38</v>
      </c>
      <c r="B108" s="6"/>
      <c r="C108" s="9"/>
      <c r="D108" s="7">
        <v>13000</v>
      </c>
      <c r="E108" s="20" t="s">
        <v>39</v>
      </c>
      <c r="F108" s="21"/>
      <c r="G108" s="17"/>
      <c r="H108" s="17"/>
      <c r="I108" s="17"/>
      <c r="J108" s="17"/>
    </row>
  </sheetData>
  <sheetProtection sheet="1" selectLockedCells="1" selectUnlockedCells="1"/>
  <mergeCells count="23">
    <mergeCell ref="F98:J102"/>
    <mergeCell ref="F103:J107"/>
    <mergeCell ref="A2:A67"/>
    <mergeCell ref="E2:E67"/>
    <mergeCell ref="A68:A77"/>
    <mergeCell ref="E68:E77"/>
    <mergeCell ref="A78:A87"/>
    <mergeCell ref="E78:E87"/>
    <mergeCell ref="C2:C7"/>
    <mergeCell ref="C8:C13"/>
    <mergeCell ref="C14:C19"/>
    <mergeCell ref="C20:C25"/>
    <mergeCell ref="C26:C31"/>
    <mergeCell ref="C32:C37"/>
    <mergeCell ref="A98:A107"/>
    <mergeCell ref="E98:E107"/>
    <mergeCell ref="C38:C43"/>
    <mergeCell ref="C44:C49"/>
    <mergeCell ref="C62:C67"/>
    <mergeCell ref="A88:A97"/>
    <mergeCell ref="E88:E97"/>
    <mergeCell ref="C50:C55"/>
    <mergeCell ref="C56:C61"/>
  </mergeCells>
  <phoneticPr fontId="1"/>
  <pageMargins left="0.78740157480314965" right="0.78740157480314965" top="1.1811023622047245" bottom="0.98425196850393704" header="0.51181102362204722" footer="0.51181102362204722"/>
  <pageSetup paperSize="9" scale="39" fitToWidth="0" orientation="portrait" r:id="rId1"/>
  <headerFooter alignWithMargins="0">
    <oddHeader>&amp;C&amp;12保護基準額単価表&amp;R
（修正時は「早見表」→「単価表」の順で！）</oddHeader>
  </headerFooter>
  <rowBreaks count="1" manualBreakCount="1">
    <brk id="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6</vt:i4>
      </vt:variant>
    </vt:vector>
  </HeadingPairs>
  <TitlesOfParts>
    <vt:vector size="8" baseType="lpstr">
      <vt:lpstr>計算シート</vt:lpstr>
      <vt:lpstr>参照先</vt:lpstr>
      <vt:lpstr>計算シート!Print_Area</vt:lpstr>
      <vt:lpstr>参照先!Print_Area</vt:lpstr>
      <vt:lpstr>参照先!Print_Titles</vt:lpstr>
      <vt:lpstr>人数</vt:lpstr>
      <vt:lpstr>生年人数</vt:lpstr>
      <vt:lpstr>第二類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須藤　凜子</cp:lastModifiedBy>
  <cp:lastPrinted>2024-11-25T06:41:26Z</cp:lastPrinted>
  <dcterms:created xsi:type="dcterms:W3CDTF">2019-05-24T01:45:43Z</dcterms:created>
  <dcterms:modified xsi:type="dcterms:W3CDTF">2026-03-30T02:18:36Z</dcterms:modified>
</cp:coreProperties>
</file>